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tables/table1.xml" ContentType="application/vnd.openxmlformats-officedocument.spreadsheetml.table+xml"/>
  <Override PartName="/xl/drawings/drawing7.xml" ContentType="application/vnd.openxmlformats-officedocument.drawing+xml"/>
  <Override PartName="/xl/tables/table2.xml" ContentType="application/vnd.openxmlformats-officedocument.spreadsheetml.table+xml"/>
  <Override PartName="/xl/comments7.xml" ContentType="application/vnd.openxmlformats-officedocument.spreadsheetml.comments+xml"/>
  <Override PartName="/xl/tables/table3.xml" ContentType="application/vnd.openxmlformats-officedocument.spreadsheetml.table+xml"/>
  <Override PartName="/xl/comments8.xml" ContentType="application/vnd.openxmlformats-officedocument.spreadsheetml.comments+xml"/>
  <Override PartName="/xl/drawings/drawing8.xml" ContentType="application/vnd.openxmlformats-officedocument.drawing+xml"/>
  <Override PartName="/xl/tables/table4.xml" ContentType="application/vnd.openxmlformats-officedocument.spreadsheetml.table+xml"/>
  <Override PartName="/xl/comments9.xml" ContentType="application/vnd.openxmlformats-officedocument.spreadsheetml.comments+xml"/>
  <Override PartName="/xl/drawings/drawing9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omments10.xml" ContentType="application/vnd.openxmlformats-officedocument.spreadsheetml.comment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drawings/drawing10.xml" ContentType="application/vnd.openxmlformats-officedocument.drawing+xml"/>
  <Override PartName="/xl/tables/table11.xml" ContentType="application/vnd.openxmlformats-officedocument.spreadsheetml.table+xml"/>
  <Override PartName="/xl/comments11.xml" ContentType="application/vnd.openxmlformats-officedocument.spreadsheetml.comments+xml"/>
  <Override PartName="/xl/drawings/drawing11.xml" ContentType="application/vnd.openxmlformats-officedocument.drawing+xml"/>
  <Override PartName="/xl/tables/table12.xml" ContentType="application/vnd.openxmlformats-officedocument.spreadsheetml.table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J:\gb\GM\30-Düngung_Praktikeranleitung\Düngeverordnung\_DüV_2017\__Düngebedarfsermittlung\_Programm\1_Veröffentlicht_DLR-Homepage\"/>
    </mc:Choice>
  </mc:AlternateContent>
  <bookViews>
    <workbookView xWindow="0" yWindow="0" windowWidth="28800" windowHeight="12435"/>
  </bookViews>
  <sheets>
    <sheet name="N-Bedarf Gemüse Erdbeere" sheetId="1" r:id="rId1"/>
    <sheet name="P-Bedarf Gemüse Erdbeere" sheetId="11" r:id="rId2"/>
    <sheet name="N-Bedarf H&amp;G" sheetId="24" r:id="rId3"/>
    <sheet name="P-Bedarf H&amp;G" sheetId="25" r:id="rId4"/>
    <sheet name="N-Bedarf Ackerbau" sheetId="16" r:id="rId5"/>
    <sheet name="P-Bedarf Ackerbau" sheetId="18" r:id="rId6"/>
    <sheet name="Boden Bolap" sheetId="14" r:id="rId7"/>
    <sheet name="Nicht aktiv_Boden LUFA" sheetId="12" state="hidden" r:id="rId8"/>
    <sheet name="Tab 2+3 DüV_A" sheetId="15" r:id="rId9"/>
    <sheet name="Nährstoffabfuhr Sonstige" sheetId="21" state="hidden" r:id="rId10"/>
    <sheet name="Tab 4+5 DüV+Abfuhr_G" sheetId="2" r:id="rId11"/>
    <sheet name="H&amp;G" sheetId="26" r:id="rId12"/>
    <sheet name="Tab 6 DüV_H" sheetId="4" r:id="rId13"/>
    <sheet name="Tab 7 DüV_A-VF" sheetId="5" r:id="rId14"/>
    <sheet name="Tab 7 DüV_A-ZF" sheetId="27" r:id="rId15"/>
    <sheet name="Verfrühung, Vorkultur" sheetId="6" r:id="rId16"/>
    <sheet name="Tab org. D_N-expert" sheetId="7" r:id="rId17"/>
    <sheet name="Tab org. Kompost_N-expert" sheetId="10" r:id="rId18"/>
  </sheets>
  <definedNames>
    <definedName name="_xlnm._FilterDatabase" localSheetId="9" hidden="1">'Nährstoffabfuhr Sonstige'!#REF!</definedName>
    <definedName name="_xlnm._FilterDatabase" localSheetId="16" hidden="1">'Tab org. D_N-expert'!$A$1:$N$540</definedName>
    <definedName name="_xlnm._FilterDatabase" localSheetId="17" hidden="1">'Tab org. Kompost_N-expert'!$A$1:$L$48</definedName>
    <definedName name="Ackerbau">Tabelle1311[Kultur (*vorläufige Daten)]</definedName>
    <definedName name="_xlnm.Print_Area" localSheetId="11">Tabelle143914[#All]</definedName>
    <definedName name="_xlnm.Print_Area" localSheetId="4">'N-Bedarf Ackerbau'!$A$1:$J$51</definedName>
    <definedName name="_xlnm.Print_Area" localSheetId="0">'N-Bedarf Gemüse Erdbeere'!$A$1:$J$58</definedName>
    <definedName name="_xlnm.Print_Area" localSheetId="2">'N-Bedarf H&amp;G'!$A$1:$M$51</definedName>
    <definedName name="_xlnm.Print_Area" localSheetId="5">'P-Bedarf Ackerbau'!$A$1:$L$35</definedName>
    <definedName name="_xlnm.Print_Area" localSheetId="1">'P-Bedarf Gemüse Erdbeere'!$A$1:$L$39</definedName>
    <definedName name="_xlnm.Print_Area" localSheetId="3">'P-Bedarf H&amp;G'!$A$1:$L$35</definedName>
    <definedName name="_xlnm.Print_Area" localSheetId="10">Tabelle1[[#All],[Kultur (*vorläufige Daten)]:[MgO-Fest-legung kg/ha]]</definedName>
    <definedName name="_xlnm.Print_Titles" localSheetId="11">'H&amp;G'!$B:$B,'H&amp;G'!$1:$1</definedName>
    <definedName name="_xlnm.Print_Titles" localSheetId="9">'Nährstoffabfuhr Sonstige'!$1:$1</definedName>
    <definedName name="_xlnm.Print_Titles" localSheetId="16">'Tab org. D_N-expert'!$1:$1</definedName>
    <definedName name="Gemüse">'Tab 4+5 DüV+Abfuhr_G'!$A$2:$A$152</definedName>
    <definedName name="HG">Tabelle143914[Kultur (*nicht in DüV, Quelle: LfL Freising)]</definedName>
    <definedName name="Z_0E46878E_35A0_4520_9188_2905702DCB38_.wvu.FilterData" localSheetId="16" hidden="1">'Tab org. D_N-expert'!$A$1:$AH$535</definedName>
    <definedName name="Z_0E46878E_35A0_4520_9188_2905702DCB38_.wvu.FilterData" localSheetId="17" hidden="1">'Tab org. Kompost_N-expert'!$A$1:$AF$43</definedName>
    <definedName name="Z_0E46878E_35A0_4520_9188_2905702DCB38_.wvu.PrintArea" localSheetId="4" hidden="1">'N-Bedarf Ackerbau'!$A$1:$K$50</definedName>
    <definedName name="Z_0E46878E_35A0_4520_9188_2905702DCB38_.wvu.PrintArea" localSheetId="0" hidden="1">'N-Bedarf Gemüse Erdbeere'!$A$1:$K$56</definedName>
    <definedName name="Z_0E46878E_35A0_4520_9188_2905702DCB38_.wvu.PrintArea" localSheetId="2" hidden="1">'N-Bedarf H&amp;G'!$A$1:$N$50</definedName>
    <definedName name="Z_0E46878E_35A0_4520_9188_2905702DCB38_.wvu.PrintArea" localSheetId="5" hidden="1">'P-Bedarf Ackerbau'!$A$1:$M$18</definedName>
    <definedName name="Z_0E46878E_35A0_4520_9188_2905702DCB38_.wvu.PrintArea" localSheetId="1" hidden="1">'P-Bedarf Gemüse Erdbeere'!$A$1:$M$20</definedName>
    <definedName name="Z_0E46878E_35A0_4520_9188_2905702DCB38_.wvu.PrintArea" localSheetId="3" hidden="1">'P-Bedarf H&amp;G'!$A$1:$M$18</definedName>
  </definedNames>
  <calcPr calcId="162913"/>
  <customWorkbookViews>
    <customWorkbookView name="mahler_k - Persönliche Ansicht" guid="{0E46878E-35A0-4520-9188-2905702DCB38}" mergeInterval="0" personalView="1" maximized="1" xWindow="1912" yWindow="-8" windowWidth="1936" windowHeight="1096" activeSheetId="1"/>
  </customWorkbookViews>
</workbook>
</file>

<file path=xl/calcChain.xml><?xml version="1.0" encoding="utf-8"?>
<calcChain xmlns="http://schemas.openxmlformats.org/spreadsheetml/2006/main">
  <c r="G153" i="2" l="1"/>
  <c r="G152" i="2" l="1"/>
  <c r="G151" i="2" l="1"/>
  <c r="G150" i="2"/>
  <c r="G149" i="2"/>
  <c r="G147" i="2"/>
  <c r="G144" i="2"/>
  <c r="G143" i="2"/>
  <c r="G142" i="2"/>
  <c r="G140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4" i="2"/>
  <c r="G123" i="2"/>
  <c r="G122" i="2"/>
  <c r="G120" i="2"/>
  <c r="G119" i="2"/>
  <c r="G118" i="2"/>
  <c r="G114" i="2"/>
  <c r="G113" i="2"/>
  <c r="G112" i="2"/>
  <c r="G111" i="2"/>
  <c r="G110" i="2"/>
  <c r="G109" i="2"/>
  <c r="G108" i="2"/>
  <c r="G107" i="2"/>
  <c r="G105" i="2"/>
  <c r="G104" i="2"/>
  <c r="G103" i="2"/>
  <c r="G102" i="2"/>
  <c r="G101" i="2"/>
  <c r="G100" i="2"/>
  <c r="G99" i="2"/>
  <c r="G96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5" i="2"/>
  <c r="G73" i="2"/>
  <c r="G72" i="2"/>
  <c r="G71" i="2"/>
  <c r="G70" i="2"/>
  <c r="G69" i="2"/>
  <c r="G68" i="2"/>
  <c r="G66" i="2"/>
  <c r="G65" i="2"/>
  <c r="G64" i="2"/>
  <c r="G63" i="2"/>
  <c r="G60" i="2"/>
  <c r="G59" i="2"/>
  <c r="G58" i="2"/>
  <c r="G57" i="2"/>
  <c r="G52" i="2"/>
  <c r="G51" i="2"/>
  <c r="G50" i="2"/>
  <c r="G48" i="2"/>
  <c r="G47" i="2"/>
  <c r="G46" i="2"/>
  <c r="G45" i="2"/>
  <c r="G43" i="2"/>
  <c r="G40" i="2"/>
  <c r="G39" i="2"/>
  <c r="G37" i="2"/>
  <c r="G36" i="2"/>
  <c r="G34" i="2"/>
  <c r="G33" i="2"/>
  <c r="G32" i="2"/>
  <c r="G31" i="2"/>
  <c r="G30" i="2"/>
  <c r="G28" i="2"/>
  <c r="G27" i="2"/>
  <c r="G26" i="2"/>
  <c r="G25" i="2"/>
  <c r="G24" i="2"/>
  <c r="G23" i="2"/>
  <c r="G21" i="2"/>
  <c r="G17" i="2"/>
  <c r="G14" i="2"/>
  <c r="G13" i="2"/>
  <c r="Q90" i="26"/>
  <c r="Q88" i="26"/>
  <c r="C40" i="26"/>
  <c r="C39" i="26"/>
  <c r="C36" i="26"/>
  <c r="C33" i="26"/>
  <c r="C29" i="26"/>
  <c r="C27" i="26"/>
  <c r="C25" i="26"/>
  <c r="C23" i="26"/>
  <c r="C20" i="26"/>
  <c r="C15" i="26"/>
  <c r="K16" i="18" l="1"/>
  <c r="D48" i="16"/>
  <c r="D44" i="16"/>
  <c r="D40" i="16"/>
  <c r="D36" i="16"/>
  <c r="D35" i="16"/>
  <c r="D34" i="16"/>
  <c r="D33" i="16"/>
  <c r="I26" i="16"/>
  <c r="I24" i="16"/>
  <c r="K16" i="25"/>
  <c r="D48" i="24"/>
  <c r="D44" i="24"/>
  <c r="D40" i="24"/>
  <c r="D36" i="24"/>
  <c r="D35" i="24"/>
  <c r="D34" i="24"/>
  <c r="D33" i="24"/>
  <c r="L26" i="24"/>
  <c r="L24" i="24"/>
  <c r="K16" i="11"/>
  <c r="D40" i="1"/>
  <c r="D42" i="1"/>
  <c r="D54" i="1"/>
  <c r="D50" i="1"/>
  <c r="D46" i="1"/>
  <c r="D41" i="1"/>
  <c r="D39" i="1"/>
  <c r="I32" i="1"/>
  <c r="I30" i="1"/>
  <c r="I26" i="1"/>
  <c r="I17" i="1"/>
  <c r="E19" i="1"/>
  <c r="N15" i="16" l="1"/>
  <c r="M15" i="16"/>
  <c r="L15" i="16"/>
  <c r="B11" i="18"/>
  <c r="B14" i="18"/>
  <c r="B14" i="11"/>
  <c r="B11" i="25" l="1"/>
  <c r="G15" i="16" l="1"/>
  <c r="I13" i="16"/>
  <c r="G13" i="16"/>
  <c r="G11" i="18"/>
  <c r="B11" i="11"/>
  <c r="H29" i="18" l="1"/>
  <c r="K29" i="18"/>
  <c r="K11" i="18"/>
  <c r="L15" i="1" l="1"/>
  <c r="O15" i="24"/>
  <c r="A7" i="11" l="1"/>
  <c r="K37" i="11" l="1"/>
  <c r="H37" i="11"/>
  <c r="K27" i="18" l="1"/>
  <c r="G16" i="18"/>
  <c r="H33" i="18" l="1"/>
  <c r="K33" i="18"/>
  <c r="G14" i="25" l="1"/>
  <c r="I15" i="24"/>
  <c r="B14" i="25" l="1"/>
  <c r="G13" i="24"/>
  <c r="L13" i="24"/>
  <c r="A7" i="25" l="1"/>
  <c r="E7" i="25"/>
  <c r="G7" i="25"/>
  <c r="K29" i="25"/>
  <c r="H29" i="25"/>
  <c r="K11" i="25"/>
  <c r="K7" i="25"/>
  <c r="E19" i="24" l="1"/>
  <c r="Q15" i="24" l="1"/>
  <c r="P15" i="24"/>
  <c r="G15" i="24" l="1"/>
  <c r="C15" i="24" l="1"/>
  <c r="L15" i="24" s="1"/>
  <c r="G11" i="25"/>
  <c r="K14" i="25" s="1"/>
  <c r="N15" i="1"/>
  <c r="M15" i="1"/>
  <c r="I21" i="25" l="1"/>
  <c r="K18" i="25"/>
  <c r="K20" i="25" s="1"/>
  <c r="U15" i="24"/>
  <c r="S15" i="24"/>
  <c r="H31" i="25"/>
  <c r="K31" i="25"/>
  <c r="R15" i="24"/>
  <c r="C14" i="25"/>
  <c r="K33" i="25"/>
  <c r="K27" i="25"/>
  <c r="H27" i="25"/>
  <c r="P24" i="25"/>
  <c r="G16" i="25"/>
  <c r="A4" i="25"/>
  <c r="K3" i="25"/>
  <c r="J3" i="25"/>
  <c r="A3" i="25"/>
  <c r="G48" i="24"/>
  <c r="L48" i="24"/>
  <c r="G44" i="24"/>
  <c r="L44" i="24"/>
  <c r="G40" i="24"/>
  <c r="L40" i="24"/>
  <c r="L36" i="24"/>
  <c r="C36" i="24"/>
  <c r="G36" i="24" s="1"/>
  <c r="L35" i="24"/>
  <c r="C35" i="24"/>
  <c r="G35" i="24" s="1"/>
  <c r="L34" i="24"/>
  <c r="C34" i="24"/>
  <c r="G34" i="24" s="1"/>
  <c r="L33" i="24"/>
  <c r="C33" i="24"/>
  <c r="G33" i="24" s="1"/>
  <c r="L22" i="24"/>
  <c r="C22" i="24"/>
  <c r="L20" i="24"/>
  <c r="L17" i="24"/>
  <c r="C17" i="24"/>
  <c r="A4" i="24"/>
  <c r="L3" i="24"/>
  <c r="K3" i="24"/>
  <c r="A3" i="24"/>
  <c r="K35" i="25" l="1"/>
  <c r="T15" i="24"/>
  <c r="H33" i="25"/>
  <c r="H35" i="25" s="1"/>
  <c r="F31" i="25"/>
  <c r="D29" i="25"/>
  <c r="G13" i="1"/>
  <c r="L50" i="24" l="1"/>
  <c r="A4" i="18" l="1"/>
  <c r="A3" i="18"/>
  <c r="A4" i="16"/>
  <c r="A3" i="16"/>
  <c r="H3" i="16"/>
  <c r="A4" i="11"/>
  <c r="I3" i="16"/>
  <c r="K3" i="18"/>
  <c r="J3" i="18"/>
  <c r="K3" i="11"/>
  <c r="J3" i="11"/>
  <c r="A3" i="11"/>
  <c r="H29" i="11" l="1"/>
  <c r="K29" i="11"/>
  <c r="G7" i="18" l="1"/>
  <c r="A7" i="18" l="1"/>
  <c r="E7" i="18"/>
  <c r="K7" i="18"/>
  <c r="C36" i="16" l="1"/>
  <c r="C35" i="16"/>
  <c r="C34" i="16"/>
  <c r="C33" i="16"/>
  <c r="C42" i="1"/>
  <c r="C41" i="1"/>
  <c r="C40" i="1"/>
  <c r="C39" i="1"/>
  <c r="H27" i="18" l="1"/>
  <c r="G16" i="11" l="1"/>
  <c r="I13" i="1" l="1"/>
  <c r="P24" i="18" l="1"/>
  <c r="I48" i="16"/>
  <c r="G48" i="16"/>
  <c r="I44" i="16"/>
  <c r="G44" i="16"/>
  <c r="I40" i="16"/>
  <c r="G40" i="16"/>
  <c r="I36" i="16"/>
  <c r="G36" i="16"/>
  <c r="I35" i="16"/>
  <c r="G35" i="16"/>
  <c r="I34" i="16"/>
  <c r="G34" i="16"/>
  <c r="I33" i="16"/>
  <c r="G33" i="16"/>
  <c r="I22" i="16"/>
  <c r="C22" i="16"/>
  <c r="I20" i="16"/>
  <c r="E19" i="16"/>
  <c r="I17" i="16"/>
  <c r="C17" i="16"/>
  <c r="C15" i="16"/>
  <c r="K18" i="11"/>
  <c r="K7" i="11"/>
  <c r="G7" i="11"/>
  <c r="E7" i="11"/>
  <c r="I54" i="1"/>
  <c r="G54" i="1"/>
  <c r="I50" i="1"/>
  <c r="G50" i="1"/>
  <c r="G46" i="1"/>
  <c r="I46" i="1"/>
  <c r="I42" i="1"/>
  <c r="G42" i="1"/>
  <c r="I41" i="1"/>
  <c r="G41" i="1"/>
  <c r="I40" i="1"/>
  <c r="G40" i="1"/>
  <c r="I39" i="1"/>
  <c r="G39" i="1"/>
  <c r="I28" i="1"/>
  <c r="I22" i="1"/>
  <c r="C22" i="1"/>
  <c r="I20" i="1"/>
  <c r="C17" i="1"/>
  <c r="G15" i="1"/>
  <c r="I15" i="16" l="1"/>
  <c r="D15" i="16"/>
  <c r="C14" i="18"/>
  <c r="F31" i="18" s="1"/>
  <c r="D29" i="18"/>
  <c r="H31" i="18"/>
  <c r="C15" i="1"/>
  <c r="G11" i="11"/>
  <c r="D31" i="11" s="1"/>
  <c r="K35" i="11"/>
  <c r="H35" i="11"/>
  <c r="I15" i="1" l="1"/>
  <c r="I56" i="1" s="1"/>
  <c r="H31" i="11"/>
  <c r="K11" i="11"/>
  <c r="K31" i="11"/>
  <c r="K14" i="18"/>
  <c r="H35" i="18"/>
  <c r="K31" i="18"/>
  <c r="K35" i="18" s="1"/>
  <c r="G31" i="18"/>
  <c r="C14" i="11"/>
  <c r="K18" i="18" l="1"/>
  <c r="I21" i="18"/>
  <c r="K14" i="11"/>
  <c r="K20" i="11" s="1"/>
  <c r="H33" i="11"/>
  <c r="H39" i="11" s="1"/>
  <c r="K33" i="11"/>
  <c r="K39" i="11" s="1"/>
  <c r="G33" i="11"/>
  <c r="F33" i="11"/>
  <c r="I23" i="11" l="1"/>
  <c r="K22" i="11" s="1"/>
  <c r="K20" i="18"/>
  <c r="H14" i="16" l="1"/>
  <c r="I50" i="16"/>
</calcChain>
</file>

<file path=xl/comments1.xml><?xml version="1.0" encoding="utf-8"?>
<comments xmlns="http://schemas.openxmlformats.org/spreadsheetml/2006/main">
  <authors>
    <author>mahler_k</author>
  </authors>
  <commentList>
    <comment ref="B15" authorId="0" shapeId="0">
      <text>
        <r>
          <rPr>
            <sz val="10"/>
            <color indexed="81"/>
            <rFont val="Calibri"/>
            <family val="2"/>
            <scheme val="minor"/>
          </rPr>
          <t>Durchschnitt der letzten 3 Jahre. Muss belegt werden können.
Bei Differenz zum DüV-Ertragsniveau sind pro ± 20% Unterschied Zu-bzw. Abschläge erforderlich</t>
        </r>
      </text>
    </comment>
    <comment ref="B20" authorId="0" shapeId="0">
      <text>
        <r>
          <rPr>
            <sz val="10"/>
            <color indexed="81"/>
            <rFont val="Calibri"/>
            <family val="2"/>
            <scheme val="minor"/>
          </rPr>
          <t>Ermittlung durch:
- Untersuchung einer repräsentativen Bodenprobe oder
- Ergebnisübernahme von vergleichbaren Standorten oder
- Berechnungs-, Schätzverfahren nach fachspezifischen Erkenntnissen</t>
        </r>
      </text>
    </comment>
    <comment ref="C28" authorId="0" shapeId="0">
      <text>
        <r>
          <rPr>
            <sz val="10"/>
            <color indexed="81"/>
            <rFont val="Calibri"/>
            <family val="2"/>
            <scheme val="minor"/>
          </rPr>
          <t>Nach 4 Wochen und mehr sind 2/3 des N bereits mineralisiert und in Nmin-Probe auffindbar</t>
        </r>
      </text>
    </comment>
    <comment ref="B30" authorId="0" shapeId="0">
      <text>
        <r>
          <rPr>
            <sz val="10"/>
            <color indexed="81"/>
            <rFont val="Calibri"/>
            <family val="2"/>
            <scheme val="minor"/>
          </rPr>
          <t>N-Abschlag der Vorfrucht kann alternativ bei gleichjährigen Folge-kulturen angerechnet werden.</t>
        </r>
      </text>
    </comment>
    <comment ref="B32" authorId="0" shapeId="0">
      <text>
        <r>
          <rPr>
            <sz val="10"/>
            <color indexed="81"/>
            <rFont val="Calibri"/>
            <family val="2"/>
            <scheme val="minor"/>
          </rPr>
          <t>N-Abschlag der Zwischenfrucht kann alternativ bei gleichjährigen Folge-kulturen angerechnet werden.</t>
        </r>
      </text>
    </comment>
    <comment ref="B34" authorId="0" shapeId="0">
      <text>
        <r>
          <rPr>
            <sz val="10"/>
            <color indexed="81"/>
            <rFont val="Calibri"/>
            <family val="2"/>
            <scheme val="minor"/>
          </rPr>
          <t>N-Nachlieferung in Form eines Abschlags von 10% des ausge-brachten Gesamt-N. 
Kann alternativ bei gleichjährigen Folge-kulturen angerechnet werden.</t>
        </r>
      </text>
    </comment>
    <comment ref="B35" authorId="0" shapeId="0">
      <text>
        <r>
          <rPr>
            <sz val="10"/>
            <color indexed="81"/>
            <rFont val="Calibri"/>
            <family val="2"/>
            <scheme val="minor"/>
          </rPr>
          <t>N-Nachlieferung in Form eines Abschlags von 10% des ausge-brachten Gesamt-N. 
Kann alternativ bei gleichjährigen Folge-kulturen angerechnet werden.</t>
        </r>
      </text>
    </comment>
    <comment ref="B36" authorId="0" shapeId="0">
      <text>
        <r>
          <rPr>
            <sz val="10"/>
            <color indexed="81"/>
            <rFont val="Calibri"/>
            <family val="2"/>
            <scheme val="minor"/>
          </rPr>
          <t>N-Nachlieferung in Form eines Abschlags von 10% des ausge-brachten Gesamt-N. 
Kann alternativ bei gleichjährigen Folge-kulturen angerechnet werden.</t>
        </r>
      </text>
    </comment>
    <comment ref="B37" authorId="0" shapeId="0">
      <text>
        <r>
          <rPr>
            <sz val="10"/>
            <color indexed="81"/>
            <rFont val="Calibri"/>
            <family val="2"/>
            <scheme val="minor"/>
          </rPr>
          <t>N-Nachlieferung in Form eines Abschlags von 10% des ausge-brachten Gesamt-N. 
Kann alternativ bei gleichjährigen Folge-kulturen angerechnet werden.</t>
        </r>
      </text>
    </comment>
    <comment ref="B44" authorId="0" shapeId="0">
      <text>
        <r>
          <rPr>
            <sz val="10"/>
            <color indexed="81"/>
            <rFont val="Calibri"/>
            <family val="2"/>
            <scheme val="minor"/>
          </rPr>
          <t>N-Nachlieferung im 1. Vorjahr in Form eines Abschlags von 4% des ausgebrachten Gesamt-N. 
Kann alternativ bei gleichjährigen Folgekulturen angerechnet werden</t>
        </r>
      </text>
    </comment>
    <comment ref="B48" authorId="0" shapeId="0">
      <text>
        <r>
          <rPr>
            <sz val="10"/>
            <color indexed="81"/>
            <rFont val="Calibri"/>
            <family val="2"/>
            <scheme val="minor"/>
          </rPr>
          <t>N-Nachlieferung im 1. Vorjahr in Form eines Abschlags von 4% des ausgebrachten Gesamt-N. 
Kann alternativ bei gleichjährigen Folgekulturen angerechnet werden</t>
        </r>
      </text>
    </comment>
    <comment ref="B52" authorId="0" shapeId="0">
      <text>
        <r>
          <rPr>
            <sz val="10"/>
            <color indexed="81"/>
            <rFont val="Calibri"/>
            <family val="2"/>
            <scheme val="minor"/>
          </rPr>
          <t>N-Nachlieferung im 1. Vorjahr in Form eines Abschlags von 4% des ausgebrachten Gesamt-N. 
Kann alternativ bei gleichjährigen Folgekulturen angerechnet werden</t>
        </r>
      </text>
    </comment>
  </commentList>
</comments>
</file>

<file path=xl/comments10.xml><?xml version="1.0" encoding="utf-8"?>
<comments xmlns="http://schemas.openxmlformats.org/spreadsheetml/2006/main">
  <authors>
    <author>mahler_k</author>
  </authors>
  <commentList>
    <comment ref="B2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C2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D2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E2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F2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G2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H2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I2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J2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K2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L2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M2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N2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O2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P2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Q2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R2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S2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T2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U2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B3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C3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D3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E3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F3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G3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H3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I3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J3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K3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L3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M3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N3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O3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P3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Q3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R3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S3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T3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U3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B4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C4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D4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E4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F4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G4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H4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I4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J4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K4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L4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M4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N4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O4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P4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Q4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R4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S4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T4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U4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B5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C5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D5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E5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F5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G5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H5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I5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J5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K5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L5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M5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N5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O5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P5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Q5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R5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S5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T5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U5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B6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C6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D6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E6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F6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G6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H6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I6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J6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K6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L6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M6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N6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O6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P6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Q6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R6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S6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T6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U6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B7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C7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D7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E7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F7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G7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H7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I7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J7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K7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L7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M7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N7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O7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P7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Q7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R7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S7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T7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U7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B8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C8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D8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E8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F8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G8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H8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I8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J8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K8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L8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M8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N8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O8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P8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Q8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R8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S8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T8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U8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B9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C9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D9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E9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F9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G9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H9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I9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J9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K9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L9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M9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N9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O9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P9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Q9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R9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S9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T9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U9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B10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C10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D10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E10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F10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G10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H10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I10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J10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K10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L10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M10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N10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O10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P10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Q10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R10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S10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T10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U10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B11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C11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D11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E11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F11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G11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H11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I11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J11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K11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L11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M11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N11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O11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P11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Q11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R11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S11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T11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U11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W82" authorId="0" shapeId="0">
      <text>
        <r>
          <rPr>
            <sz val="10"/>
            <color indexed="81"/>
            <rFont val="Segoe UI"/>
            <family val="2"/>
          </rPr>
          <t>Schnittlauchwerte</t>
        </r>
      </text>
    </comment>
    <comment ref="W104" authorId="0" shapeId="0">
      <text>
        <r>
          <rPr>
            <sz val="10"/>
            <color indexed="81"/>
            <rFont val="Segoe UI"/>
            <family val="2"/>
          </rPr>
          <t>Schnittlauchwerte</t>
        </r>
      </text>
    </comment>
    <comment ref="W106" authorId="0" shapeId="0">
      <text>
        <r>
          <rPr>
            <sz val="10"/>
            <color indexed="81"/>
            <rFont val="Segoe UI"/>
            <family val="2"/>
          </rPr>
          <t>Schnittlauchwerte</t>
        </r>
      </text>
    </comment>
    <comment ref="W111" authorId="0" shapeId="0">
      <text>
        <r>
          <rPr>
            <sz val="10"/>
            <color indexed="81"/>
            <rFont val="Segoe UI"/>
            <family val="2"/>
          </rPr>
          <t>Schnittlauchwerte</t>
        </r>
      </text>
    </comment>
  </commentList>
</comments>
</file>

<file path=xl/comments11.xml><?xml version="1.0" encoding="utf-8"?>
<comments xmlns="http://schemas.openxmlformats.org/spreadsheetml/2006/main">
  <authors>
    <author>mahler_k</author>
  </authors>
  <commentList>
    <comment ref="B2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C2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D2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E2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F2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G2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H2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I2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J2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K2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L2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M2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N2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B3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C3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D3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E3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F3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G3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H3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I3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J3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K3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L3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M3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N3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B4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C4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D4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E4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F4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G4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H4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I4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J4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K4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L4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M4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N4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B5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C5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D5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E5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F5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G5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H5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I5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J5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K5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L5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M5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N5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B6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C6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D6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E6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F6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G6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H6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I6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J6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K6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L6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M6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N6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B7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C7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D7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E7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F7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G7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H7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I7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J7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K7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L7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M7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N7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B8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C8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D8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E8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F8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G8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H8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I8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J8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K8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L8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M8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N8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B9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C9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D9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E9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F9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G9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H9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I9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J9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K9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L9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M9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N9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B10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C10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D10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E10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F10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G10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H10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I10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J10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K10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L10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M10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N10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B11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C11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D11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E11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F11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G11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H11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I11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J11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K11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L11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M11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N11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</commentList>
</comments>
</file>

<file path=xl/comments12.xml><?xml version="1.0" encoding="utf-8"?>
<comments xmlns="http://schemas.openxmlformats.org/spreadsheetml/2006/main">
  <authors>
    <author>mahler_k</author>
  </authors>
  <commentList>
    <comment ref="B2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C2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D2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E2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F2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G2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H2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I2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B3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C3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D3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E3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F3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G3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H3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I3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B4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C4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D4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E4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F4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G4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H4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I4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B5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C5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D5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E5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F5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G5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H5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I5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B6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C6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D6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E6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F6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G6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H6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I6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B7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C7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D7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E7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F7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G7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H7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I7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B8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C8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D8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E8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F8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G8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H8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I8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B9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C9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D9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E9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F9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G9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H9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I9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B10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C10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D10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E10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F10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G10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H10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I10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B11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C11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D11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E11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F11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G11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H11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I11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</commentList>
</comments>
</file>

<file path=xl/comments2.xml><?xml version="1.0" encoding="utf-8"?>
<comments xmlns="http://schemas.openxmlformats.org/spreadsheetml/2006/main">
  <authors>
    <author>mahler_k</author>
  </authors>
  <commentList>
    <comment ref="A7" authorId="0" shapeId="0">
      <text>
        <r>
          <rPr>
            <sz val="10"/>
            <color indexed="81"/>
            <rFont val="Segoe UI"/>
            <family val="2"/>
          </rPr>
          <t>Daten werden von N-Bedarfsermittlung übernommen.</t>
        </r>
      </text>
    </comment>
    <comment ref="E7" authorId="0" shapeId="0">
      <text>
        <r>
          <rPr>
            <sz val="10"/>
            <color indexed="81"/>
            <rFont val="Segoe UI"/>
            <family val="2"/>
          </rPr>
          <t>Daten werden von N-Bedarfsermittlung übernommen.</t>
        </r>
      </text>
    </comment>
    <comment ref="G7" authorId="0" shapeId="0">
      <text>
        <r>
          <rPr>
            <sz val="10"/>
            <color indexed="81"/>
            <rFont val="Segoe UI"/>
            <family val="2"/>
          </rPr>
          <t>Daten werden von N-Bedarfs-ermittlung übernommen.</t>
        </r>
      </text>
    </comment>
    <comment ref="K7" authorId="0" shapeId="0">
      <text>
        <r>
          <rPr>
            <sz val="10"/>
            <color indexed="81"/>
            <rFont val="Segoe UI"/>
            <family val="2"/>
          </rPr>
          <t>Daten werden von N-Bedarfs-ermittlung übernommen.</t>
        </r>
      </text>
    </comment>
    <comment ref="B11" authorId="0" shapeId="0">
      <text>
        <r>
          <rPr>
            <sz val="10"/>
            <color indexed="81"/>
            <rFont val="Segoe UI"/>
            <family val="2"/>
          </rPr>
          <t>Daten werden von N-Bedarfsermittlung übernommen.</t>
        </r>
      </text>
    </comment>
    <comment ref="B14" authorId="0" shapeId="0">
      <text>
        <r>
          <rPr>
            <sz val="10"/>
            <color indexed="81"/>
            <rFont val="Segoe UI"/>
            <family val="2"/>
          </rPr>
          <t>Daten werden von N-Bedarfsermittlung übernommen.</t>
        </r>
      </text>
    </comment>
    <comment ref="B16" authorId="0" shapeId="0">
      <text>
        <r>
          <rPr>
            <sz val="10"/>
            <color indexed="81"/>
            <rFont val="Calibri"/>
            <family val="2"/>
            <scheme val="minor"/>
          </rPr>
          <t>Bodenuntersuchung alle 6 Jahre.
Ab 20 mg darf max. die Feldabfuhr gedüngt werden.</t>
        </r>
      </text>
    </comment>
    <comment ref="E16" authorId="0" shapeId="0">
      <text>
        <r>
          <rPr>
            <sz val="10"/>
            <color indexed="81"/>
            <rFont val="Calibri"/>
            <family val="2"/>
            <scheme val="minor"/>
          </rPr>
          <t>Für K</t>
        </r>
        <r>
          <rPr>
            <vertAlign val="subscript"/>
            <sz val="10"/>
            <color indexed="81"/>
            <rFont val="Calibri"/>
            <family val="2"/>
            <scheme val="minor"/>
          </rPr>
          <t>2</t>
        </r>
        <r>
          <rPr>
            <sz val="10"/>
            <color indexed="81"/>
            <rFont val="Calibri"/>
            <family val="2"/>
            <scheme val="minor"/>
          </rPr>
          <t>O und MgO-Bedarf Eingabe notwendig.</t>
        </r>
      </text>
    </comment>
  </commentList>
</comments>
</file>

<file path=xl/comments3.xml><?xml version="1.0" encoding="utf-8"?>
<comments xmlns="http://schemas.openxmlformats.org/spreadsheetml/2006/main">
  <authors>
    <author>mahler_k</author>
  </authors>
  <commentList>
    <comment ref="B15" authorId="0" shapeId="0">
      <text>
        <r>
          <rPr>
            <sz val="10"/>
            <color indexed="81"/>
            <rFont val="Calibri"/>
            <family val="2"/>
            <scheme val="minor"/>
          </rPr>
          <t xml:space="preserve">Ertrag abzüglich Abfall z.B. Stiel, Laub. Abfallanteil % kann in Kulturtabelle angepasst werden.
Durchschnitt der letzten 3 Jahre. Muss belegt werden können.
Weicht der Ertrag in einem der letzten 3 Jahre um 20% ab, kann dieser abweichende Ertrag herangezogen werden </t>
        </r>
      </text>
    </comment>
    <comment ref="B20" authorId="0" shapeId="0">
      <text>
        <r>
          <rPr>
            <sz val="10"/>
            <color indexed="81"/>
            <rFont val="Calibri"/>
            <family val="2"/>
            <scheme val="minor"/>
          </rPr>
          <t>Ermittlung durch:
- Untersuchung einer repräsentativen Bodenprobe oder
- Ergebnisübernahme von vergleichbaren Standorten oder
- Berechnungs-, Schätzverfahren nach fachspezifischen Erkenntnissen</t>
        </r>
      </text>
    </comment>
    <comment ref="B24" authorId="0" shapeId="0">
      <text>
        <r>
          <rPr>
            <sz val="10"/>
            <color indexed="81"/>
            <rFont val="Calibri"/>
            <family val="2"/>
            <scheme val="minor"/>
          </rPr>
          <t>N-Abschlag der Vorfrucht kann alternativ bei gleichjährigen Folge-kulturen angerechnet werden.</t>
        </r>
      </text>
    </comment>
    <comment ref="B26" authorId="0" shapeId="0">
      <text>
        <r>
          <rPr>
            <sz val="10"/>
            <color indexed="81"/>
            <rFont val="Calibri"/>
            <family val="2"/>
            <scheme val="minor"/>
          </rPr>
          <t>N-Abschlag der Zwischenfrucht kann alternativ bei gleichjährigen Folge-kulturen angerechnet werden.</t>
        </r>
      </text>
    </comment>
    <comment ref="B28" authorId="0" shapeId="0">
      <text>
        <r>
          <rPr>
            <sz val="10"/>
            <color indexed="81"/>
            <rFont val="Calibri"/>
            <family val="2"/>
            <scheme val="minor"/>
          </rPr>
          <t>N-Nachlieferung in Form eines Abschlags von 10% des ausge-brachten Gesamt-N. 
Kann alternativ bei gleichjährigen Folge-kulturen angerechnet werden.</t>
        </r>
      </text>
    </comment>
    <comment ref="B29" authorId="0" shapeId="0">
      <text>
        <r>
          <rPr>
            <sz val="10"/>
            <color indexed="81"/>
            <rFont val="Calibri"/>
            <family val="2"/>
            <scheme val="minor"/>
          </rPr>
          <t>N-Nachlieferung in Form eines Abschlags von 10% des ausge-brachten Gesamt-N. 
Kann alternativ bei gleichjährigen Folge-kulturen angerechnet werden.</t>
        </r>
      </text>
    </comment>
    <comment ref="B30" authorId="0" shapeId="0">
      <text>
        <r>
          <rPr>
            <sz val="10"/>
            <color indexed="81"/>
            <rFont val="Calibri"/>
            <family val="2"/>
            <scheme val="minor"/>
          </rPr>
          <t>N-Nachlieferung in Form eines Abschlags von 10% des ausge-brachten Gesamt-N. 
Kann alternativ bei gleichjährigen Folge-kulturen angerechnet werden.</t>
        </r>
      </text>
    </comment>
    <comment ref="B31" authorId="0" shapeId="0">
      <text>
        <r>
          <rPr>
            <sz val="10"/>
            <color indexed="81"/>
            <rFont val="Calibri"/>
            <family val="2"/>
            <scheme val="minor"/>
          </rPr>
          <t>N-Nachlieferung in Form eines Abschlags von 10% des ausge-brachten Gesamt-N. 
Kann alternativ bei gleichjährigen Folge-kulturen angerechnet werden.</t>
        </r>
      </text>
    </comment>
    <comment ref="B38" authorId="0" shapeId="0">
      <text>
        <r>
          <rPr>
            <sz val="10"/>
            <color indexed="81"/>
            <rFont val="Calibri"/>
            <family val="2"/>
            <scheme val="minor"/>
          </rPr>
          <t>N-Nachlieferung im 1. Vorjahr in Form eines Abschlags von 4% des ausgebrachten Gesamt-N. 
Kann alternativ bei gleichjährigen Folgekulturen angerechnet werden</t>
        </r>
      </text>
    </comment>
    <comment ref="B42" authorId="0" shapeId="0">
      <text>
        <r>
          <rPr>
            <sz val="10"/>
            <color indexed="81"/>
            <rFont val="Calibri"/>
            <family val="2"/>
            <scheme val="minor"/>
          </rPr>
          <t>N-Nachlieferung im 1. Vorjahr in Form eines Abschlags von 4% des ausgebrachten Gesamt-N. 
Kann alternativ bei gleichjährigen Folgekulturen angerechnet werden</t>
        </r>
      </text>
    </comment>
    <comment ref="B46" authorId="0" shapeId="0">
      <text>
        <r>
          <rPr>
            <sz val="10"/>
            <color indexed="81"/>
            <rFont val="Calibri"/>
            <family val="2"/>
            <scheme val="minor"/>
          </rPr>
          <t>N-Nachlieferung im 1. Vorjahr in Form eines Abschlags von 4% des ausgebrachten Gesamt-N. 
Kann alternativ bei gleichjährigen Folgekulturen angerechnet werden</t>
        </r>
      </text>
    </comment>
  </commentList>
</comments>
</file>

<file path=xl/comments4.xml><?xml version="1.0" encoding="utf-8"?>
<comments xmlns="http://schemas.openxmlformats.org/spreadsheetml/2006/main">
  <authors>
    <author>mahler_k</author>
  </authors>
  <commentList>
    <comment ref="A7" authorId="0" shapeId="0">
      <text>
        <r>
          <rPr>
            <sz val="10"/>
            <color indexed="81"/>
            <rFont val="Segoe UI"/>
            <family val="2"/>
          </rPr>
          <t>Daten werden von N-Bedarfsermittlung übernommen.</t>
        </r>
      </text>
    </comment>
    <comment ref="E7" authorId="0" shapeId="0">
      <text>
        <r>
          <rPr>
            <sz val="10"/>
            <color indexed="81"/>
            <rFont val="Segoe UI"/>
            <family val="2"/>
          </rPr>
          <t>Daten werden von N-Bedarfsermittlung übernommen.</t>
        </r>
      </text>
    </comment>
    <comment ref="G7" authorId="0" shapeId="0">
      <text>
        <r>
          <rPr>
            <sz val="10"/>
            <color indexed="81"/>
            <rFont val="Segoe UI"/>
            <family val="2"/>
          </rPr>
          <t>Daten werden von N-Bedarfs-ermittlung übernommen.</t>
        </r>
      </text>
    </comment>
    <comment ref="K7" authorId="0" shapeId="0">
      <text>
        <r>
          <rPr>
            <sz val="10"/>
            <color indexed="81"/>
            <rFont val="Segoe UI"/>
            <family val="2"/>
          </rPr>
          <t>Daten werden von N-Bedarfs-ermittlung übernommen.</t>
        </r>
      </text>
    </comment>
    <comment ref="B11" authorId="0" shapeId="0">
      <text>
        <r>
          <rPr>
            <sz val="10"/>
            <color indexed="81"/>
            <rFont val="Segoe UI"/>
            <family val="2"/>
          </rPr>
          <t>Daten werden von N-Bedarfsermittlung übernommen.</t>
        </r>
      </text>
    </comment>
    <comment ref="B14" authorId="0" shapeId="0">
      <text>
        <r>
          <rPr>
            <sz val="10"/>
            <color indexed="81"/>
            <rFont val="Segoe UI"/>
            <family val="2"/>
          </rPr>
          <t>Daten werden von N-Bedarfsermittlung übernommen.</t>
        </r>
      </text>
    </comment>
    <comment ref="B16" authorId="0" shapeId="0">
      <text>
        <r>
          <rPr>
            <sz val="10"/>
            <color indexed="81"/>
            <rFont val="Calibri"/>
            <family val="2"/>
            <scheme val="minor"/>
          </rPr>
          <t>Bodenuntersuchung alle 6 Jahre.</t>
        </r>
      </text>
    </comment>
    <comment ref="E16" authorId="0" shapeId="0">
      <text>
        <r>
          <rPr>
            <sz val="10"/>
            <color indexed="81"/>
            <rFont val="Calibri"/>
            <family val="2"/>
            <scheme val="minor"/>
          </rPr>
          <t>Für K</t>
        </r>
        <r>
          <rPr>
            <vertAlign val="subscript"/>
            <sz val="10"/>
            <color indexed="81"/>
            <rFont val="Calibri"/>
            <family val="2"/>
            <scheme val="minor"/>
          </rPr>
          <t>2</t>
        </r>
        <r>
          <rPr>
            <sz val="10"/>
            <color indexed="81"/>
            <rFont val="Calibri"/>
            <family val="2"/>
            <scheme val="minor"/>
          </rPr>
          <t>O und MgO-Bedarf Eingabe notwendig.</t>
        </r>
      </text>
    </comment>
  </commentList>
</comments>
</file>

<file path=xl/comments5.xml><?xml version="1.0" encoding="utf-8"?>
<comments xmlns="http://schemas.openxmlformats.org/spreadsheetml/2006/main">
  <authors>
    <author>mahler_k</author>
  </authors>
  <commentList>
    <comment ref="B15" authorId="0" shapeId="0">
      <text>
        <r>
          <rPr>
            <sz val="10"/>
            <color indexed="81"/>
            <rFont val="Calibri"/>
            <family val="2"/>
            <scheme val="minor"/>
          </rPr>
          <t xml:space="preserve">Durchschnitt der letzten 3 Jahre. Muss belegt werden können.
Weicht der Ertrag in einem der letzten 3 Jahre um 20% ab, kann dieser abweichende Ertrag herangezogen werden </t>
        </r>
      </text>
    </comment>
    <comment ref="B20" authorId="0" shapeId="0">
      <text>
        <r>
          <rPr>
            <sz val="10"/>
            <color indexed="81"/>
            <rFont val="Calibri"/>
            <family val="2"/>
            <scheme val="minor"/>
          </rPr>
          <t>Ermittlung durch:
- Untersuchung einer repräsentativen Bodenprobe oder
- Ergebnisübernahme von vergleichbaren Standorten oder
- Berechnungs-, Schätzverfahren nach fachspezifischen Erkenntnissen</t>
        </r>
      </text>
    </comment>
    <comment ref="B24" authorId="0" shapeId="0">
      <text>
        <r>
          <rPr>
            <sz val="10"/>
            <color indexed="81"/>
            <rFont val="Calibri"/>
            <family val="2"/>
            <scheme val="minor"/>
          </rPr>
          <t>N-Abschlag der Vorfrucht kann alternativ bei gleichjährigen Folge-kulturen angerechnet werden.</t>
        </r>
      </text>
    </comment>
    <comment ref="B26" authorId="0" shapeId="0">
      <text>
        <r>
          <rPr>
            <sz val="10"/>
            <color indexed="81"/>
            <rFont val="Calibri"/>
            <family val="2"/>
            <scheme val="minor"/>
          </rPr>
          <t>N-Abschlag der Zwischenfrucht kann alternativ bei gleichjährigen Folge-kulturen angerechnet werden.</t>
        </r>
      </text>
    </comment>
    <comment ref="B28" authorId="0" shapeId="0">
      <text>
        <r>
          <rPr>
            <sz val="10"/>
            <color indexed="81"/>
            <rFont val="Calibri"/>
            <family val="2"/>
            <scheme val="minor"/>
          </rPr>
          <t>N-Nachlieferung in Form eines Abschlags von 10% des ausge-brachten Gesamt-N. 
Kann alternativ bei gleichjährigen Folge-kulturen angerechnet werden.</t>
        </r>
      </text>
    </comment>
    <comment ref="B29" authorId="0" shapeId="0">
      <text>
        <r>
          <rPr>
            <sz val="10"/>
            <color indexed="81"/>
            <rFont val="Calibri"/>
            <family val="2"/>
            <scheme val="minor"/>
          </rPr>
          <t>N-Nachlieferung in Form eines Abschlags von 10% des ausge-brachten Gesamt-N. 
Kann alternativ bei gleichjährigen Folge-kulturen angerechnet werden.</t>
        </r>
      </text>
    </comment>
    <comment ref="B30" authorId="0" shapeId="0">
      <text>
        <r>
          <rPr>
            <sz val="10"/>
            <color indexed="81"/>
            <rFont val="Calibri"/>
            <family val="2"/>
            <scheme val="minor"/>
          </rPr>
          <t>N-Nachlieferung in Form eines Abschlags von 10% des ausge-brachten Gesamt-N. 
Kann alternativ bei gleichjährigen Folge-kulturen angerechnet werden.</t>
        </r>
      </text>
    </comment>
    <comment ref="B31" authorId="0" shapeId="0">
      <text>
        <r>
          <rPr>
            <sz val="10"/>
            <color indexed="81"/>
            <rFont val="Calibri"/>
            <family val="2"/>
            <scheme val="minor"/>
          </rPr>
          <t>N-Nachlieferung in Form eines Abschlags von 10% des ausge-brachten Gesamt-N. 
Kann alternativ bei gleichjährigen Folge-kulturen angerechnet werden.</t>
        </r>
      </text>
    </comment>
    <comment ref="B38" authorId="0" shapeId="0">
      <text>
        <r>
          <rPr>
            <sz val="10"/>
            <color indexed="81"/>
            <rFont val="Calibri"/>
            <family val="2"/>
            <scheme val="minor"/>
          </rPr>
          <t>N-Nachlieferung im 1. Vorjahr in Form eines Abschlags von 4% des ausgebrachten Gesamt-N. 
Kann alternativ bei gleichjährigen Folgekulturen angerechnet werden</t>
        </r>
      </text>
    </comment>
    <comment ref="B42" authorId="0" shapeId="0">
      <text>
        <r>
          <rPr>
            <sz val="10"/>
            <color indexed="81"/>
            <rFont val="Calibri"/>
            <family val="2"/>
            <scheme val="minor"/>
          </rPr>
          <t>N-Nachlieferung im 1. Vorjahr in Form eines Abschlags von 4% des ausgebrachten Gesamt-N. 
Kann alternativ bei gleichjährigen Folgekulturen angerechnet werden</t>
        </r>
      </text>
    </comment>
    <comment ref="B46" authorId="0" shapeId="0">
      <text>
        <r>
          <rPr>
            <sz val="10"/>
            <color indexed="81"/>
            <rFont val="Calibri"/>
            <family val="2"/>
            <scheme val="minor"/>
          </rPr>
          <t>N-Nachlieferung im 1. Vorjahr in Form eines Abschlags von 4% des ausgebrachten Gesamt-N. 
Kann alternativ bei gleichjährigen Folgekulturen angerechnet werden</t>
        </r>
      </text>
    </comment>
  </commentList>
</comments>
</file>

<file path=xl/comments6.xml><?xml version="1.0" encoding="utf-8"?>
<comments xmlns="http://schemas.openxmlformats.org/spreadsheetml/2006/main">
  <authors>
    <author>mahler_k</author>
  </authors>
  <commentList>
    <comment ref="A7" authorId="0" shapeId="0">
      <text>
        <r>
          <rPr>
            <sz val="10"/>
            <color indexed="81"/>
            <rFont val="Segoe UI"/>
            <family val="2"/>
          </rPr>
          <t>Daten werden von N-Bedarfsermittlung übernommen.</t>
        </r>
      </text>
    </comment>
    <comment ref="E7" authorId="0" shapeId="0">
      <text>
        <r>
          <rPr>
            <sz val="10"/>
            <color indexed="81"/>
            <rFont val="Segoe UI"/>
            <family val="2"/>
          </rPr>
          <t>Daten werden von N-Bedarfsermittlung übernommen.</t>
        </r>
      </text>
    </comment>
    <comment ref="G7" authorId="0" shapeId="0">
      <text>
        <r>
          <rPr>
            <sz val="10"/>
            <color indexed="81"/>
            <rFont val="Segoe UI"/>
            <family val="2"/>
          </rPr>
          <t>Daten werden von N-Bedarfs-ermittlung übernommen.</t>
        </r>
      </text>
    </comment>
    <comment ref="K7" authorId="0" shapeId="0">
      <text>
        <r>
          <rPr>
            <sz val="10"/>
            <color indexed="81"/>
            <rFont val="Segoe UI"/>
            <family val="2"/>
          </rPr>
          <t>Daten werden von N-Bedarfs-ermittlung übernommen.</t>
        </r>
      </text>
    </comment>
    <comment ref="B11" authorId="0" shapeId="0">
      <text>
        <r>
          <rPr>
            <sz val="10"/>
            <color indexed="81"/>
            <rFont val="Segoe UI"/>
            <family val="2"/>
          </rPr>
          <t>Daten werden von N-Bedarfsermittlung übernommen.</t>
        </r>
      </text>
    </comment>
    <comment ref="B14" authorId="0" shapeId="0">
      <text>
        <r>
          <rPr>
            <sz val="10"/>
            <color indexed="81"/>
            <rFont val="Segoe UI"/>
            <family val="2"/>
          </rPr>
          <t>Daten werden von N-Bedarfsermittlung übernommen.</t>
        </r>
      </text>
    </comment>
    <comment ref="B16" authorId="0" shapeId="0">
      <text>
        <r>
          <rPr>
            <sz val="10"/>
            <color indexed="81"/>
            <rFont val="Calibri"/>
            <family val="2"/>
            <scheme val="minor"/>
          </rPr>
          <t>Bodenuntersuchung alle 6 Jahre.</t>
        </r>
      </text>
    </comment>
    <comment ref="E16" authorId="0" shapeId="0">
      <text>
        <r>
          <rPr>
            <sz val="10"/>
            <color indexed="81"/>
            <rFont val="Calibri"/>
            <family val="2"/>
            <scheme val="minor"/>
          </rPr>
          <t>Für K</t>
        </r>
        <r>
          <rPr>
            <vertAlign val="subscript"/>
            <sz val="10"/>
            <color indexed="81"/>
            <rFont val="Calibri"/>
            <family val="2"/>
            <scheme val="minor"/>
          </rPr>
          <t>2</t>
        </r>
        <r>
          <rPr>
            <sz val="10"/>
            <color indexed="81"/>
            <rFont val="Calibri"/>
            <family val="2"/>
            <scheme val="minor"/>
          </rPr>
          <t>O und MgO-Bedarf Eingabe notwendig.</t>
        </r>
      </text>
    </comment>
  </commentList>
</comments>
</file>

<file path=xl/comments7.xml><?xml version="1.0" encoding="utf-8"?>
<comments xmlns="http://schemas.openxmlformats.org/spreadsheetml/2006/main">
  <authors>
    <author>mahler_k</author>
  </authors>
  <commentList>
    <comment ref="I1" authorId="0" shapeId="0">
      <text>
        <r>
          <rPr>
            <sz val="10"/>
            <color indexed="81"/>
            <rFont val="Segoe UI"/>
            <family val="2"/>
          </rPr>
          <t>Daten aus Stoffstrombilanzverordnung 2017.
N abhängig vom Rohprotein-Gehalt.</t>
        </r>
      </text>
    </comment>
    <comment ref="J1" authorId="0" shapeId="0">
      <text>
        <r>
          <rPr>
            <sz val="10"/>
            <color indexed="81"/>
            <rFont val="Segoe UI"/>
            <family val="2"/>
          </rPr>
          <t>Daten aus Stoffstrombilanzverordnung 2017</t>
        </r>
      </text>
    </comment>
    <comment ref="A2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B2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C2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D2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E2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F2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G2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H2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I2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J2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K2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L2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A3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B3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C3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D3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E3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F3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G3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H3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I3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J3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K3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L3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A4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B4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C4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D4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E4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F4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G4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H4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I4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J4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K4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L4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A5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B5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C5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D5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E5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F5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G5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H5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I5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J5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K5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L5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A6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B6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C6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D6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E6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F6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G6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H6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I6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J6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K6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L6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A7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B7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C7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D7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E7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F7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G7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H7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I7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J7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K7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L7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A8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B8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C8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D8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E8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F8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G8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H8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I8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J8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K8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L8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A9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B9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C9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D9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E9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F9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G9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H9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I9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J9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K9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L9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A10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B10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C10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D10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E10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F10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G10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H10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I10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J10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K10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L10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A11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B11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C11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D11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E11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F11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G11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H11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I11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J11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K11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L11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</commentList>
</comments>
</file>

<file path=xl/comments8.xml><?xml version="1.0" encoding="utf-8"?>
<comments xmlns="http://schemas.openxmlformats.org/spreadsheetml/2006/main">
  <authors>
    <author>mahler_k</author>
  </authors>
  <commentList>
    <comment ref="C30" authorId="0" shapeId="0">
      <text>
        <r>
          <rPr>
            <b/>
            <sz val="10"/>
            <color indexed="81"/>
            <rFont val="Segoe UI"/>
            <family val="2"/>
          </rPr>
          <t>mahler_k:</t>
        </r>
        <r>
          <rPr>
            <sz val="10"/>
            <color indexed="81"/>
            <rFont val="Segoe UI"/>
            <family val="2"/>
          </rPr>
          <t xml:space="preserve">
??</t>
        </r>
      </text>
    </comment>
    <comment ref="D30" authorId="0" shapeId="0">
      <text>
        <r>
          <rPr>
            <b/>
            <sz val="10"/>
            <color indexed="81"/>
            <rFont val="Segoe UI"/>
            <family val="2"/>
          </rPr>
          <t>mahler_k:</t>
        </r>
        <r>
          <rPr>
            <sz val="10"/>
            <color indexed="81"/>
            <rFont val="Segoe UI"/>
            <family val="2"/>
          </rPr>
          <t xml:space="preserve">
??</t>
        </r>
      </text>
    </comment>
    <comment ref="A137" authorId="0" shapeId="0">
      <text>
        <r>
          <rPr>
            <sz val="10"/>
            <color indexed="81"/>
            <rFont val="Segoe UI"/>
            <family val="2"/>
          </rPr>
          <t>Daten prüfen</t>
        </r>
      </text>
    </comment>
    <comment ref="A138" authorId="0" shapeId="0">
      <text>
        <r>
          <rPr>
            <sz val="10"/>
            <color indexed="81"/>
            <rFont val="Segoe UI"/>
            <family val="2"/>
          </rPr>
          <t>Daten prüfen</t>
        </r>
      </text>
    </comment>
    <comment ref="A163" authorId="0" shapeId="0">
      <text>
        <r>
          <rPr>
            <sz val="10"/>
            <color indexed="81"/>
            <rFont val="Segoe UI"/>
            <family val="2"/>
          </rPr>
          <t>Daten prüfen</t>
        </r>
      </text>
    </comment>
    <comment ref="A164" authorId="0" shapeId="0">
      <text>
        <r>
          <rPr>
            <sz val="10"/>
            <color indexed="81"/>
            <rFont val="Segoe UI"/>
            <family val="2"/>
          </rPr>
          <t>Daten prüfen</t>
        </r>
      </text>
    </comment>
  </commentList>
</comments>
</file>

<file path=xl/comments9.xml><?xml version="1.0" encoding="utf-8"?>
<comments xmlns="http://schemas.openxmlformats.org/spreadsheetml/2006/main">
  <authors>
    <author>mahler_k</author>
  </authors>
  <commentList>
    <comment ref="L1" authorId="0" shapeId="0">
      <text>
        <r>
          <rPr>
            <sz val="10"/>
            <color indexed="81"/>
            <rFont val="Segoe UI"/>
            <family val="2"/>
          </rPr>
          <t>Daten aus Stoffstrombilanzverordnung 2017</t>
        </r>
      </text>
    </comment>
    <comment ref="A2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B2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C2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D2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E2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F2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G2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H2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I2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J2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K2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L2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M2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N2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O2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P2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Q2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A3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B3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C3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D3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E3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F3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G3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H3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I3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J3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K3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L3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M3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N3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O3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P3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Q3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A4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B4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C4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D4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E4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F4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G4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H4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I4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J4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K4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L4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M4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N4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O4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P4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Q4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A5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B5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C5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D5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E5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F5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G5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H5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I5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J5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K5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L5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M5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N5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O5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P5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Q5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A6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B6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C6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D6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E6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F6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G6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H6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I6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J6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K6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L6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M6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N6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O6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P6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Q6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A7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B7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C7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D7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E7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F7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G7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H7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I7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J7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K7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L7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M7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N7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O7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P7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Q7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A8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B8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C8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D8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E8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F8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G8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H8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I8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J8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K8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L8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M8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N8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O8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P8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Q8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A9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B9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C9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D9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E9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F9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G9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H9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I9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J9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K9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L9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M9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N9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O9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P9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Q9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A10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B10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C10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D10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E10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F10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G10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H10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I10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J10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K10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L10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M10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N10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O10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P10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Q10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A11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B11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C11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D11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E11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F11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G11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H11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I11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J11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K11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L11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M11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N11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O11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P11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Q11" authorId="0" shapeId="0">
      <text>
        <r>
          <rPr>
            <sz val="10"/>
            <color indexed="81"/>
            <rFont val="Calibri"/>
            <family val="2"/>
            <scheme val="minor"/>
          </rPr>
          <t>Hier können Daten anderer Kulturen eingetragen werden.</t>
        </r>
      </text>
    </comment>
    <comment ref="K77" authorId="0" shapeId="0">
      <text>
        <r>
          <rPr>
            <sz val="10"/>
            <color indexed="81"/>
            <rFont val="Segoe UI"/>
            <family val="2"/>
          </rPr>
          <t xml:space="preserve">Werte der Stachelbeere Nährstoffvergleich 2018
</t>
        </r>
      </text>
    </comment>
    <comment ref="L77" authorId="0" shapeId="0">
      <text>
        <r>
          <rPr>
            <sz val="10"/>
            <color indexed="81"/>
            <rFont val="Segoe UI"/>
            <family val="2"/>
          </rPr>
          <t xml:space="preserve">Werte der Stachelbeere Nährstoffvergleich 2018
</t>
        </r>
      </text>
    </comment>
    <comment ref="M77" authorId="0" shapeId="0">
      <text>
        <r>
          <rPr>
            <sz val="10"/>
            <color indexed="81"/>
            <rFont val="Segoe UI"/>
            <family val="2"/>
          </rPr>
          <t xml:space="preserve">Werte der Stachelbeere Nährstoffvergleich 2018
</t>
        </r>
      </text>
    </comment>
    <comment ref="N77" authorId="0" shapeId="0">
      <text>
        <r>
          <rPr>
            <sz val="10"/>
            <color indexed="81"/>
            <rFont val="Segoe UI"/>
            <family val="2"/>
          </rPr>
          <t xml:space="preserve">Werte der Stachelbeere Nährstoffvergleich 2018
</t>
        </r>
      </text>
    </comment>
    <comment ref="O87" authorId="0" shapeId="0">
      <text>
        <r>
          <rPr>
            <sz val="10"/>
            <color indexed="81"/>
            <rFont val="Segoe UI"/>
            <family val="2"/>
          </rPr>
          <t>Gesamt-Bedarf Pflanzjahr bis 3. Standjahr: 105 kg/ha. 
Da die Gesamtgabe auf das Pflanzjahr und das 2. Standjahr zu verteilen ist, 
halbiert sich der Gesamtbedarf auf jeweils runde 53 kg/ha.</t>
        </r>
      </text>
    </comment>
    <comment ref="P87" authorId="0" shapeId="0">
      <text>
        <r>
          <rPr>
            <sz val="10"/>
            <color indexed="81"/>
            <rFont val="Segoe UI"/>
            <family val="2"/>
          </rPr>
          <t>Aufgrund der Nährstoffbeweglichkeit und der Kulturverträglichkeit
wird der Gesamtbedarf auf 3 Standjahre verteilt.</t>
        </r>
      </text>
    </comment>
    <comment ref="Q87" authorId="0" shapeId="0">
      <text>
        <r>
          <rPr>
            <sz val="10"/>
            <color indexed="81"/>
            <rFont val="Segoe UI"/>
            <family val="2"/>
          </rPr>
          <t>Aufgrund der Nährstoffbeweglichkeit und der Kulturverträglichkeit
wird der Gesamtbedarf auf 3 Standjahre verteilt.</t>
        </r>
      </text>
    </comment>
    <comment ref="O89" authorId="0" shapeId="0">
      <text>
        <r>
          <rPr>
            <sz val="10"/>
            <color indexed="81"/>
            <rFont val="Segoe UI"/>
            <family val="2"/>
          </rPr>
          <t>Gesamt-Bedarf Pflanzjahr bis 3. Standjahr: 105 kg/ha. 
Da die Gesamtgabe auf das Pflanzjahr und das 2. Standjahr zu verteilen ist, 
halbiert sich der Gesamtbedarf auf jeweils runde 53 kg/ha.</t>
        </r>
      </text>
    </comment>
    <comment ref="P89" authorId="0" shapeId="0">
      <text>
        <r>
          <rPr>
            <sz val="10"/>
            <color indexed="81"/>
            <rFont val="Segoe UI"/>
            <family val="2"/>
          </rPr>
          <t>Aufgrund der Nährstoffbeweglichkeit und der Kulturverträglichkeit
wird der Gesamtbedarf auf 3 Standjahre verteilt.</t>
        </r>
      </text>
    </comment>
    <comment ref="Q89" authorId="0" shapeId="0">
      <text>
        <r>
          <rPr>
            <sz val="10"/>
            <color indexed="81"/>
            <rFont val="Segoe UI"/>
            <family val="2"/>
          </rPr>
          <t>Aufgrund der Nährstoffbeweglichkeit und der Kulturverträglichkeit
wird der Gesamtbedarf auf 3 Standjahre verteilt.</t>
        </r>
      </text>
    </comment>
    <comment ref="P91" authorId="0" shapeId="0">
      <text>
        <r>
          <rPr>
            <sz val="10"/>
            <color indexed="81"/>
            <rFont val="Segoe UI"/>
            <family val="2"/>
          </rPr>
          <t>Aufgrund der Nährstoffbeweglichkeit und der Kulturverträglichkeit
wird der Gesamtbedarf auf 3 Standjahre verteilt.</t>
        </r>
      </text>
    </comment>
    <comment ref="Q91" authorId="0" shapeId="0">
      <text>
        <r>
          <rPr>
            <sz val="10"/>
            <color indexed="81"/>
            <rFont val="Segoe UI"/>
            <family val="2"/>
          </rPr>
          <t>Aufgrund der Nährstoffbeweglichkeit und der Kulturverträglichkeit
wird der Gesamtbedarf auf 3 Standjahre verteilt.</t>
        </r>
      </text>
    </comment>
    <comment ref="O127" authorId="0" shapeId="0">
      <text>
        <r>
          <rPr>
            <sz val="10"/>
            <color indexed="81"/>
            <rFont val="Segoe UI"/>
            <family val="2"/>
          </rPr>
          <t>Gesamt-Bedarf Pflanzjahr bis 4. Standjahr: 156 kg/ha. 
Da die Gesamtgabe auf das Pflanzjahr und das 2. Standjahr zu verteilen ist, 
halbiert sich der Gesamtbedarf pro Jahr auf 78 kg/ha.</t>
        </r>
      </text>
    </comment>
    <comment ref="P127" authorId="0" shapeId="0">
      <text>
        <r>
          <rPr>
            <sz val="10"/>
            <color indexed="81"/>
            <rFont val="Segoe UI"/>
            <family val="2"/>
          </rPr>
          <t>Aufgrund der Nährstoffbeweglichkeit und der Kulturverträglichkeit
wird der Gesamtbedarf auf 4 Standjahre verteilt.</t>
        </r>
      </text>
    </comment>
    <comment ref="Q127" authorId="0" shapeId="0">
      <text>
        <r>
          <rPr>
            <sz val="10"/>
            <color indexed="81"/>
            <rFont val="Segoe UI"/>
            <family val="2"/>
          </rPr>
          <t>Aufgrund der Nährstoffbeweglichkeit und der Kulturverträglichkeit
wird der Gesamtbedarf auf 4 Standjahre verteilt.</t>
        </r>
      </text>
    </comment>
    <comment ref="O128" authorId="0" shapeId="0">
      <text>
        <r>
          <rPr>
            <sz val="10"/>
            <color indexed="81"/>
            <rFont val="Segoe UI"/>
            <family val="2"/>
          </rPr>
          <t>Gesamt-Bedarf Pflanzjahr bis 4. Standjahr: 156 kg/ha. 
Da die Gesamtgabe auf das Pflanzjahr und das 2. Standjahr zu verteilen ist, 
halbiert sich der Gesamtbedarf pro Jahr auf 78 kg/ha.</t>
        </r>
      </text>
    </comment>
    <comment ref="P128" authorId="0" shapeId="0">
      <text>
        <r>
          <rPr>
            <sz val="10"/>
            <color indexed="81"/>
            <rFont val="Segoe UI"/>
            <family val="2"/>
          </rPr>
          <t>Aufgrund der Nährstoffbeweglichkeit und der Kulturverträglichkeit
wird der Gesamtbedarf auf 4 Standjahre verteilt.</t>
        </r>
      </text>
    </comment>
    <comment ref="Q128" authorId="0" shapeId="0">
      <text>
        <r>
          <rPr>
            <sz val="10"/>
            <color indexed="81"/>
            <rFont val="Segoe UI"/>
            <family val="2"/>
          </rPr>
          <t>Aufgrund der Nährstoffbeweglichkeit und der Kulturverträglichkeit
wird der Gesamtbedarf auf 4 Standjahre verteilt.</t>
        </r>
      </text>
    </comment>
    <comment ref="O129" authorId="0" shapeId="0">
      <text>
        <r>
          <rPr>
            <sz val="10"/>
            <color indexed="81"/>
            <rFont val="Segoe UI"/>
            <family val="2"/>
          </rPr>
          <t>Gesamt-Bedarf Pflanzjahr bis 4. Standjahr: 156 kg/ha. 
Da die Gesamtgabe auf das Pflanzjahr und das 2. Standjahr zu verteilen ist, 
halbiert sich der Gesamtbedarf pro Jahr auf 78 kg/ha.</t>
        </r>
      </text>
    </comment>
    <comment ref="P129" authorId="0" shapeId="0">
      <text>
        <r>
          <rPr>
            <sz val="10"/>
            <color indexed="81"/>
            <rFont val="Segoe UI"/>
            <family val="2"/>
          </rPr>
          <t>Aufgrund der Nährstoffbeweglichkeit und der Kulturverträglichkeit
wird der Gesamtbedarf auf 4 Standjahre verteilt.</t>
        </r>
      </text>
    </comment>
    <comment ref="Q129" authorId="0" shapeId="0">
      <text>
        <r>
          <rPr>
            <sz val="10"/>
            <color indexed="81"/>
            <rFont val="Segoe UI"/>
            <family val="2"/>
          </rPr>
          <t>Aufgrund der Nährstoffbeweglichkeit und der Kulturverträglichkeit
wird der Gesamtbedarf auf 4 Standjahre verteilt.</t>
        </r>
      </text>
    </comment>
    <comment ref="P130" authorId="0" shapeId="0">
      <text>
        <r>
          <rPr>
            <sz val="10"/>
            <color indexed="81"/>
            <rFont val="Segoe UI"/>
            <family val="2"/>
          </rPr>
          <t>Aufgrund der Nährstoffbeweglichkeit und der Kulturverträglichkeit
wird der Gesamtbedarf auf 4 Standjahre verteilt.</t>
        </r>
      </text>
    </comment>
    <comment ref="Q130" authorId="0" shapeId="0">
      <text>
        <r>
          <rPr>
            <sz val="10"/>
            <color indexed="81"/>
            <rFont val="Segoe UI"/>
            <family val="2"/>
          </rPr>
          <t>Aufgrund der Nährstoffbeweglichkeit und der Kulturverträglichkeit
wird der Gesamtbedarf auf 4 Standjahre verteilt.</t>
        </r>
      </text>
    </comment>
    <comment ref="P131" authorId="0" shapeId="0">
      <text>
        <r>
          <rPr>
            <sz val="10"/>
            <color indexed="81"/>
            <rFont val="Segoe UI"/>
            <family val="2"/>
          </rPr>
          <t>Aufgrund der Nährstoffbeweglichkeit und der Kulturverträglichkeit
wird der Gesamtbedarf auf 4 Standjahre verteilt.</t>
        </r>
      </text>
    </comment>
    <comment ref="Q131" authorId="0" shapeId="0">
      <text>
        <r>
          <rPr>
            <sz val="10"/>
            <color indexed="81"/>
            <rFont val="Segoe UI"/>
            <family val="2"/>
          </rPr>
          <t>Aufgrund der Nährstoffbeweglichkeit und der Kulturverträglichkeit
wird der Gesamtbedarf auf 4 Standjahre verteilt.</t>
        </r>
      </text>
    </comment>
  </commentList>
</comments>
</file>

<file path=xl/sharedStrings.xml><?xml version="1.0" encoding="utf-8"?>
<sst xmlns="http://schemas.openxmlformats.org/spreadsheetml/2006/main" count="5182" uniqueCount="2129">
  <si>
    <t>Humusgehalt %</t>
  </si>
  <si>
    <t>Kultur</t>
  </si>
  <si>
    <t>N-Mindestabschlag kg/ha</t>
  </si>
  <si>
    <t>Abdeckung Verfrühung</t>
  </si>
  <si>
    <t>N-Zuschlag kg/ha</t>
  </si>
  <si>
    <t>nein</t>
  </si>
  <si>
    <t>ja</t>
  </si>
  <si>
    <t>Name Betrieb</t>
  </si>
  <si>
    <t>&gt;4,0</t>
  </si>
  <si>
    <t>DuengerID</t>
  </si>
  <si>
    <t>Name</t>
  </si>
  <si>
    <t>CNorg</t>
  </si>
  <si>
    <t>minCN</t>
  </si>
  <si>
    <t>maxCN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</si>
  <si>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</si>
  <si>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</si>
  <si>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</si>
  <si>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</si>
  <si>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</si>
  <si>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</si>
  <si>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</si>
  <si>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</si>
  <si>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</si>
  <si>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</si>
  <si>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</si>
  <si>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</si>
  <si>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</si>
  <si>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</si>
  <si>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</si>
  <si>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</si>
  <si>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</si>
  <si>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</si>
  <si>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</si>
  <si>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</si>
  <si>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</si>
  <si>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</si>
  <si>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</si>
  <si>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101</t>
  </si>
  <si>
    <t>103</t>
  </si>
  <si>
    <t>104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</si>
  <si>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</si>
  <si>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</si>
  <si>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</si>
  <si>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</si>
  <si>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</si>
  <si>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</si>
  <si>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</si>
  <si>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</si>
  <si>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</si>
  <si>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</si>
  <si>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</si>
  <si>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</si>
  <si>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</si>
  <si>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</si>
  <si>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</si>
  <si>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</si>
  <si>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</si>
  <si>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124</t>
  </si>
  <si>
    <t>126</t>
  </si>
  <si>
    <t>127</t>
  </si>
  <si>
    <t>128</t>
  </si>
  <si>
    <t>130</t>
  </si>
  <si>
    <t>131</t>
  </si>
  <si>
    <t>132</t>
  </si>
  <si>
    <t>133</t>
  </si>
  <si>
    <t>135</t>
  </si>
  <si>
    <t>136</t>
  </si>
  <si>
    <t>137</t>
  </si>
  <si>
    <t>138</t>
  </si>
  <si>
    <t>140</t>
  </si>
  <si>
    <t>141</t>
  </si>
  <si>
    <t>143</t>
  </si>
  <si>
    <t>144</t>
  </si>
  <si>
    <t>145</t>
  </si>
  <si>
    <t>148</t>
  </si>
  <si>
    <t>150</t>
  </si>
  <si>
    <t>151</t>
  </si>
  <si>
    <t>152</t>
  </si>
  <si>
    <t>153</t>
  </si>
  <si>
    <t>154</t>
  </si>
  <si>
    <t>155</t>
  </si>
  <si>
    <t>156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</si>
  <si>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</si>
  <si>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</si>
  <si>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</si>
  <si>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</si>
  <si>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</si>
  <si>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</si>
  <si>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</si>
  <si>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</si>
  <si>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</si>
  <si>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</si>
  <si>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</si>
  <si>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</si>
  <si>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</si>
  <si>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</si>
  <si>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</si>
  <si>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</si>
  <si>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</si>
  <si>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</si>
  <si>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</si>
  <si>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</si>
  <si>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AGRIFEED EKO N AMINO</t>
  </si>
  <si>
    <t>178</t>
  </si>
  <si>
    <t>AGRIFEED EKO NPK</t>
  </si>
  <si>
    <t>179</t>
  </si>
  <si>
    <t>Bio-Algihum® "Terratop® Golf 6"</t>
  </si>
  <si>
    <t>180</t>
  </si>
  <si>
    <t>Biorga Quick</t>
  </si>
  <si>
    <t>181</t>
  </si>
  <si>
    <t>Biorga Quick pelletiert ohne Fleischknochenmehl</t>
  </si>
  <si>
    <t>182</t>
  </si>
  <si>
    <t>Biorga Stickstoffdünger</t>
  </si>
  <si>
    <t>183</t>
  </si>
  <si>
    <t>Biorga Stickstoffdünger pelletiert ohne Fleischknochenmehl</t>
  </si>
  <si>
    <t>184</t>
  </si>
  <si>
    <t>Biostar</t>
  </si>
  <si>
    <t>185</t>
  </si>
  <si>
    <t>Gepac Bio-Aktiv</t>
  </si>
  <si>
    <t>186</t>
  </si>
  <si>
    <t>HICURE</t>
  </si>
  <si>
    <t>187</t>
  </si>
  <si>
    <t>MANNA BIO N 10-7-1</t>
  </si>
  <si>
    <t>188</t>
  </si>
  <si>
    <t>Terragon® Bio-Malsch</t>
  </si>
  <si>
    <t>189</t>
  </si>
  <si>
    <t>WUXAL®Amino</t>
  </si>
  <si>
    <t>190</t>
  </si>
  <si>
    <t>DCM Eco-fos</t>
  </si>
  <si>
    <t>191</t>
  </si>
  <si>
    <t>Prophos</t>
  </si>
  <si>
    <t>192</t>
  </si>
  <si>
    <t>DCM Vivikali</t>
  </si>
  <si>
    <t>193</t>
  </si>
  <si>
    <t>FLORAAKAL WSM</t>
  </si>
  <si>
    <t>194</t>
  </si>
  <si>
    <t>195</t>
  </si>
  <si>
    <t>196</t>
  </si>
  <si>
    <t>Activit 4-3-2</t>
  </si>
  <si>
    <t>197</t>
  </si>
  <si>
    <t>AMN Natural Activ-bio</t>
  </si>
  <si>
    <t>198</t>
  </si>
  <si>
    <t>AMN Natural Activ-bio-bio</t>
  </si>
  <si>
    <t>199</t>
  </si>
  <si>
    <t>Azet® PROFI BaumDünger</t>
  </si>
  <si>
    <t>200</t>
  </si>
  <si>
    <t>Azet® PROFI RasenDünger</t>
  </si>
  <si>
    <t>201</t>
  </si>
  <si>
    <t>Azet® PROFI RhododendronDünger</t>
  </si>
  <si>
    <t>202</t>
  </si>
  <si>
    <t>Azet® PROFI RosenDünger</t>
  </si>
  <si>
    <t>203</t>
  </si>
  <si>
    <t>BED Bio Elite Dünger</t>
  </si>
  <si>
    <t>204</t>
  </si>
  <si>
    <t>BIO Symbio</t>
  </si>
  <si>
    <t>205</t>
  </si>
  <si>
    <t>BioAgenasol</t>
  </si>
  <si>
    <t>206</t>
  </si>
  <si>
    <t>207</t>
  </si>
  <si>
    <t>Bionalla</t>
  </si>
  <si>
    <t>208</t>
  </si>
  <si>
    <t>Bionta Organic Universal</t>
  </si>
  <si>
    <t>209</t>
  </si>
  <si>
    <t>Biorga Vegi</t>
  </si>
  <si>
    <t>210</t>
  </si>
  <si>
    <t>BIOSOL</t>
  </si>
  <si>
    <t>211</t>
  </si>
  <si>
    <t>BonaGreen® 4-1,5-0,5</t>
  </si>
  <si>
    <t>212</t>
  </si>
  <si>
    <t>Cuxin Orgasan</t>
  </si>
  <si>
    <t>213</t>
  </si>
  <si>
    <t>DCM Eco-Mix 3</t>
  </si>
  <si>
    <t>214</t>
  </si>
  <si>
    <t>DCM NPK 9-4-3</t>
  </si>
  <si>
    <t>215</t>
  </si>
  <si>
    <t>DCM Öko-Mix 1</t>
  </si>
  <si>
    <t>216</t>
  </si>
  <si>
    <t>DCM Öko-Mix 4</t>
  </si>
  <si>
    <t>217</t>
  </si>
  <si>
    <t>DCM ProLico 2</t>
  </si>
  <si>
    <t>218</t>
  </si>
  <si>
    <t>DER WOLLDÜNGER</t>
  </si>
  <si>
    <t>219</t>
  </si>
  <si>
    <t>DIX-10N</t>
  </si>
  <si>
    <t>220</t>
  </si>
  <si>
    <t>DUETTO</t>
  </si>
  <si>
    <t>221</t>
  </si>
  <si>
    <t>ECOSUS Premium Bio-Bodenverbesserer</t>
  </si>
  <si>
    <t>222</t>
  </si>
  <si>
    <t>ECOVITAL Phosphatfrei pelletiert</t>
  </si>
  <si>
    <t>223</t>
  </si>
  <si>
    <t>ECOVITAL Spezial pelletiert</t>
  </si>
  <si>
    <t>224</t>
  </si>
  <si>
    <t>EMIKO®EM5 Forte</t>
  </si>
  <si>
    <t>225</t>
  </si>
  <si>
    <t>EMIKO®MikroDünger</t>
  </si>
  <si>
    <t>226</t>
  </si>
  <si>
    <t>Engelharts Gartendünger</t>
  </si>
  <si>
    <t>227</t>
  </si>
  <si>
    <t>Engelharts vegetarisch</t>
  </si>
  <si>
    <t>228</t>
  </si>
  <si>
    <t>floraPell - ökologischer Langzeitdünger</t>
  </si>
  <si>
    <t>229</t>
  </si>
  <si>
    <t>Gartenkrone® Universal Dünger Bio 2,5 kg</t>
  </si>
  <si>
    <t>230</t>
  </si>
  <si>
    <t>Gartenkrone® Universal Dünger Bio flüssig 1L</t>
  </si>
  <si>
    <t>231</t>
  </si>
  <si>
    <t>Greenfit Boden bio-Aktiv</t>
  </si>
  <si>
    <t>232</t>
  </si>
  <si>
    <t>GUANITO</t>
  </si>
  <si>
    <t>234</t>
  </si>
  <si>
    <t>Humulus streufähig</t>
  </si>
  <si>
    <t>235</t>
  </si>
  <si>
    <t>ITALPOLLINA</t>
  </si>
  <si>
    <t>236</t>
  </si>
  <si>
    <t>KaliVinasse SF</t>
  </si>
  <si>
    <t>237</t>
  </si>
  <si>
    <t>Macrisol 4,5+0,3+6+0,1MgO+0,5 S</t>
  </si>
  <si>
    <t>238</t>
  </si>
  <si>
    <t>MANNA BIO NPK 6-3-6</t>
  </si>
  <si>
    <t>239</t>
  </si>
  <si>
    <t>240</t>
  </si>
  <si>
    <t>241</t>
  </si>
  <si>
    <t>242</t>
  </si>
  <si>
    <t>Naturen BIO Pferdedung</t>
  </si>
  <si>
    <t>243</t>
  </si>
  <si>
    <t>Neem-Vital</t>
  </si>
  <si>
    <t>244</t>
  </si>
  <si>
    <t>ökohum Bio-Langzeitdünger</t>
  </si>
  <si>
    <t>245</t>
  </si>
  <si>
    <t>OPF granular 11-5</t>
  </si>
  <si>
    <t>246</t>
  </si>
  <si>
    <t>247</t>
  </si>
  <si>
    <t>248</t>
  </si>
  <si>
    <t>OrgaPur® 6-1-6</t>
  </si>
  <si>
    <t>249</t>
  </si>
  <si>
    <t>OrgaPur® 6-3-6</t>
  </si>
  <si>
    <t>250</t>
  </si>
  <si>
    <t>OrgaPur® 8-2-6</t>
  </si>
  <si>
    <t>251</t>
  </si>
  <si>
    <t>OrgaPur® Myk 6-1-7</t>
  </si>
  <si>
    <t>252</t>
  </si>
  <si>
    <t>OrgaPur®/Capital 5-3,5-8</t>
  </si>
  <si>
    <t>253</t>
  </si>
  <si>
    <t>Oscorna-Animalin</t>
  </si>
  <si>
    <t>254</t>
  </si>
  <si>
    <t>Oscorna-Universal</t>
  </si>
  <si>
    <t>255</t>
  </si>
  <si>
    <t>PHENIX</t>
  </si>
  <si>
    <t>256</t>
  </si>
  <si>
    <t>Progress Biorganic</t>
  </si>
  <si>
    <t>257</t>
  </si>
  <si>
    <t>Provita Pellet 105</t>
  </si>
  <si>
    <t>258</t>
  </si>
  <si>
    <t>Provita Phytogran 6+3+2</t>
  </si>
  <si>
    <t>259</t>
  </si>
  <si>
    <t>Provita Phytogrieß</t>
  </si>
  <si>
    <t>260</t>
  </si>
  <si>
    <t>Provita Phytopellets komplett</t>
  </si>
  <si>
    <t>261</t>
  </si>
  <si>
    <t>Recykal SF</t>
  </si>
  <si>
    <t>262</t>
  </si>
  <si>
    <t>Symbionta Organic Royal Universal</t>
  </si>
  <si>
    <t>263</t>
  </si>
  <si>
    <t>Team F</t>
  </si>
  <si>
    <t>264</t>
  </si>
  <si>
    <t>Terragon® Bio-Universal</t>
  </si>
  <si>
    <t>265</t>
  </si>
  <si>
    <t>Terragon® Powerkorn</t>
  </si>
  <si>
    <t>266</t>
  </si>
  <si>
    <t>TERRAmalz® Bio Perfekt</t>
  </si>
  <si>
    <t>267</t>
  </si>
  <si>
    <t>Vegetal mit Horn</t>
  </si>
  <si>
    <t>268</t>
  </si>
  <si>
    <t>Wilhelms Best Granulat</t>
  </si>
  <si>
    <t>269</t>
  </si>
  <si>
    <t>AKRA Organischer Flüssigdünger</t>
  </si>
  <si>
    <t>271</t>
  </si>
  <si>
    <t>Aminofert-Bio-NPK 3+5+6</t>
  </si>
  <si>
    <t>272</t>
  </si>
  <si>
    <t>Aminofert-Bio-NPK 7+1+2</t>
  </si>
  <si>
    <t>273</t>
  </si>
  <si>
    <t>Aminofert-P</t>
  </si>
  <si>
    <t>274</t>
  </si>
  <si>
    <t>Aminofert-Springer</t>
  </si>
  <si>
    <t>275</t>
  </si>
  <si>
    <t>AMN Powerdünger</t>
  </si>
  <si>
    <t>276</t>
  </si>
  <si>
    <t>BIOCON</t>
  </si>
  <si>
    <t>278</t>
  </si>
  <si>
    <t>Biomus</t>
  </si>
  <si>
    <t>279</t>
  </si>
  <si>
    <t>Diaglutin</t>
  </si>
  <si>
    <t>280</t>
  </si>
  <si>
    <t>Humavin flüssig/BlütoVin</t>
  </si>
  <si>
    <t>281</t>
  </si>
  <si>
    <t>Hydrobiont® Organic liquid N</t>
  </si>
  <si>
    <t>282</t>
  </si>
  <si>
    <t>KUDERS BIO-AKTIV</t>
  </si>
  <si>
    <t>283</t>
  </si>
  <si>
    <t>Naturdünger flüssig fermentiert</t>
  </si>
  <si>
    <t>284</t>
  </si>
  <si>
    <t>NATUREN BIO Tomaten &amp; Kräuter-Nahrung</t>
  </si>
  <si>
    <t>285</t>
  </si>
  <si>
    <t>286</t>
  </si>
  <si>
    <t>287</t>
  </si>
  <si>
    <t>288</t>
  </si>
  <si>
    <t>289</t>
  </si>
  <si>
    <t>PhytoGreen-NPK-Bio</t>
  </si>
  <si>
    <t>290</t>
  </si>
  <si>
    <t>Provita-Aspara</t>
  </si>
  <si>
    <t>291</t>
  </si>
  <si>
    <t>Provita-Double</t>
  </si>
  <si>
    <t>293</t>
  </si>
  <si>
    <t>Provita-Plus</t>
  </si>
  <si>
    <t>294</t>
  </si>
  <si>
    <t>Provita-Prunus C</t>
  </si>
  <si>
    <t>295</t>
  </si>
  <si>
    <t>296</t>
  </si>
  <si>
    <t>Bio-Plantosol</t>
  </si>
  <si>
    <t>301</t>
  </si>
  <si>
    <t>Aminosol</t>
  </si>
  <si>
    <t>302</t>
  </si>
  <si>
    <t>Bio Cuma</t>
  </si>
  <si>
    <t>303</t>
  </si>
  <si>
    <t>DCM Eco-Plant 2</t>
  </si>
  <si>
    <t>304</t>
  </si>
  <si>
    <t>DCM Eco-Xtra 1</t>
  </si>
  <si>
    <t>305</t>
  </si>
  <si>
    <t>Fence N</t>
  </si>
  <si>
    <t>306</t>
  </si>
  <si>
    <t>GREENSTIM®</t>
  </si>
  <si>
    <t>307</t>
  </si>
  <si>
    <t>Guar Mehl Korma</t>
  </si>
  <si>
    <t>308</t>
  </si>
  <si>
    <t>Hunter SW</t>
  </si>
  <si>
    <t>309</t>
  </si>
  <si>
    <t>Monterra Bio 13-0-0</t>
  </si>
  <si>
    <t>310</t>
  </si>
  <si>
    <t>Red Bloc</t>
  </si>
  <si>
    <t>311</t>
  </si>
  <si>
    <t>Siforga Bio 10-1-3</t>
  </si>
  <si>
    <t>312</t>
  </si>
  <si>
    <t>Gärtner's Hornmehl</t>
  </si>
  <si>
    <t>313</t>
  </si>
  <si>
    <t>Gärtner's Hornspäne</t>
  </si>
  <si>
    <t>314</t>
  </si>
  <si>
    <t>Horngrieß</t>
  </si>
  <si>
    <t>315</t>
  </si>
  <si>
    <t>Naturen BIO Hornspäne</t>
  </si>
  <si>
    <t>316</t>
  </si>
  <si>
    <t>Provita Haarmehl-Pellets</t>
  </si>
  <si>
    <t>317</t>
  </si>
  <si>
    <t>TERRAGON® Haarmehlpellets</t>
  </si>
  <si>
    <t>318</t>
  </si>
  <si>
    <t>TERRAGON® Hornmehlpellets</t>
  </si>
  <si>
    <t>327</t>
  </si>
  <si>
    <t>Furia</t>
  </si>
  <si>
    <t>330</t>
  </si>
  <si>
    <t>Kalipro</t>
  </si>
  <si>
    <t>334</t>
  </si>
  <si>
    <t>337</t>
  </si>
  <si>
    <t>Sanbio Planta</t>
  </si>
  <si>
    <t>338</t>
  </si>
  <si>
    <t>Vinasse Extrakt 30</t>
  </si>
  <si>
    <t>342</t>
  </si>
  <si>
    <t>Bio-Langzeitdünger</t>
  </si>
  <si>
    <t>343</t>
  </si>
  <si>
    <t>BIO-PROTAN® NPK 6-0-3</t>
  </si>
  <si>
    <t>344</t>
  </si>
  <si>
    <t>Condit 5</t>
  </si>
  <si>
    <t>345</t>
  </si>
  <si>
    <t>DCM Vivisol</t>
  </si>
  <si>
    <t>346</t>
  </si>
  <si>
    <t>DCM Vivisol Minigran</t>
  </si>
  <si>
    <t>348</t>
  </si>
  <si>
    <t>EPPINGER Biodünger</t>
  </si>
  <si>
    <t>349</t>
  </si>
  <si>
    <t>Gartenkrone Naschgarten Dünger Bio</t>
  </si>
  <si>
    <t>350</t>
  </si>
  <si>
    <t>Gartenkrone Rasen Dünger Bio</t>
  </si>
  <si>
    <t>351</t>
  </si>
  <si>
    <t>Gärtner's Beeren-Früchte-Dünger</t>
  </si>
  <si>
    <t>352</t>
  </si>
  <si>
    <t>Gärtner's Bio Dünger für den Naschgarten</t>
  </si>
  <si>
    <t>353</t>
  </si>
  <si>
    <t>354</t>
  </si>
  <si>
    <t>Gärtner's Bio Rasendünger</t>
  </si>
  <si>
    <t>355</t>
  </si>
  <si>
    <t>Gärtner's Gartendünger für alle Gartenkulturen</t>
  </si>
  <si>
    <t>356</t>
  </si>
  <si>
    <t>357</t>
  </si>
  <si>
    <t>Gärtner's Rosendünger</t>
  </si>
  <si>
    <t>358</t>
  </si>
  <si>
    <t>359</t>
  </si>
  <si>
    <t>Geohumus Phytopower BIO</t>
  </si>
  <si>
    <t>360</t>
  </si>
  <si>
    <t>GRENA ULTRA Micro</t>
  </si>
  <si>
    <t>361</t>
  </si>
  <si>
    <t>Grüner Jan Naturdünger</t>
  </si>
  <si>
    <t>362</t>
  </si>
  <si>
    <t>Humisol G</t>
  </si>
  <si>
    <t>364</t>
  </si>
  <si>
    <t>MikroVeda CARBONI</t>
  </si>
  <si>
    <t>365</t>
  </si>
  <si>
    <t>MikroVeda GARTENBOKASHI</t>
  </si>
  <si>
    <t>366</t>
  </si>
  <si>
    <t>Monterra Bio Chicken 3,7-2,9-2,3</t>
  </si>
  <si>
    <t>367</t>
  </si>
  <si>
    <t>Monterra Bio Malt 5-1-5</t>
  </si>
  <si>
    <t>368</t>
  </si>
  <si>
    <t>NATUREN BIO Beeren-/Tomatendünger</t>
  </si>
  <si>
    <t>369</t>
  </si>
  <si>
    <t>NATUREN BIO Gartendünger</t>
  </si>
  <si>
    <t>370</t>
  </si>
  <si>
    <t>NATUREN BIO Rasendünger</t>
  </si>
  <si>
    <t>371</t>
  </si>
  <si>
    <t>NATUREN BIO Rododendren-/Rosendünger</t>
  </si>
  <si>
    <t>373</t>
  </si>
  <si>
    <t>ografert® NPK Dünger, flüssig Mehrnährstoffdünger</t>
  </si>
  <si>
    <t>374</t>
  </si>
  <si>
    <t>Oscorna-Animalin Gartendünger</t>
  </si>
  <si>
    <t>375</t>
  </si>
  <si>
    <t>Palaterra® Beet &amp; Garten</t>
  </si>
  <si>
    <t>376</t>
  </si>
  <si>
    <t>Palaterra® Organischer Universaldünger</t>
  </si>
  <si>
    <t>377</t>
  </si>
  <si>
    <t>Palaterra® PBA-Profi-Initial</t>
  </si>
  <si>
    <t>378</t>
  </si>
  <si>
    <t>Palaterra® PBA-Profi-Spezial</t>
  </si>
  <si>
    <t>379</t>
  </si>
  <si>
    <t>381</t>
  </si>
  <si>
    <t>PPL Potato Protein Liquid</t>
  </si>
  <si>
    <t>382</t>
  </si>
  <si>
    <t>PROFI Vital BodenAktivator</t>
  </si>
  <si>
    <t>383</t>
  </si>
  <si>
    <t>Querbeet</t>
  </si>
  <si>
    <t>384</t>
  </si>
  <si>
    <t>Rasendünger für den Biogarten</t>
  </si>
  <si>
    <t>385</t>
  </si>
  <si>
    <t>Siforga Bio 4-1-8</t>
  </si>
  <si>
    <t>386</t>
  </si>
  <si>
    <t>Siforga Bio 5-3-8</t>
  </si>
  <si>
    <t>387</t>
  </si>
  <si>
    <t>SNOEKs Meisterdünger</t>
  </si>
  <si>
    <t>388</t>
  </si>
  <si>
    <t>Terios Liquido</t>
  </si>
  <si>
    <t>389</t>
  </si>
  <si>
    <t>Terra 21 Naturdünger</t>
  </si>
  <si>
    <t>390</t>
  </si>
  <si>
    <t>TerraGold-Wurmhumus</t>
  </si>
  <si>
    <t>391</t>
  </si>
  <si>
    <t>TRIBÚ</t>
  </si>
  <si>
    <t>392</t>
  </si>
  <si>
    <t>393</t>
  </si>
  <si>
    <t>394</t>
  </si>
  <si>
    <t>395</t>
  </si>
  <si>
    <t>COMPLESAL AmnioMAX</t>
  </si>
  <si>
    <t>396</t>
  </si>
  <si>
    <t>Fontana Bio 6-2-3</t>
  </si>
  <si>
    <t>397</t>
  </si>
  <si>
    <t>Fontana Bio 9-0-0</t>
  </si>
  <si>
    <t>398</t>
  </si>
  <si>
    <t>Fontana BioV 4.5-0-0,5</t>
  </si>
  <si>
    <t>400</t>
  </si>
  <si>
    <t>Quentisan®Herba</t>
  </si>
  <si>
    <t>403</t>
  </si>
  <si>
    <t>Quentisan®NPK 7+1+2</t>
  </si>
  <si>
    <t>404</t>
  </si>
  <si>
    <t>Quentisan®Plus</t>
  </si>
  <si>
    <t>405</t>
  </si>
  <si>
    <t>Quentisan®Spinter</t>
  </si>
  <si>
    <t>406</t>
  </si>
  <si>
    <t>Quentisan®T</t>
  </si>
  <si>
    <t>408</t>
  </si>
  <si>
    <t>Seramis Vitalnahrung</t>
  </si>
  <si>
    <t>410</t>
  </si>
  <si>
    <t>DIAMIN®N9</t>
  </si>
  <si>
    <t>411</t>
  </si>
  <si>
    <t>Wuxal® Aminoplant</t>
  </si>
  <si>
    <t>412</t>
  </si>
  <si>
    <t>ökohum Bio-Flüssigdünger</t>
  </si>
  <si>
    <t>413</t>
  </si>
  <si>
    <t>PhytoGreen-NährstoffBeize</t>
  </si>
  <si>
    <t>414</t>
  </si>
  <si>
    <t>ökohum Nährhumus</t>
  </si>
  <si>
    <t>415</t>
  </si>
  <si>
    <t>Oscorna-BodenAktivator</t>
  </si>
  <si>
    <t>416</t>
  </si>
  <si>
    <t>SNOEKs Kompostmeister</t>
  </si>
  <si>
    <t>417</t>
  </si>
  <si>
    <t>Bio-Algihum® Bodengranulat plus</t>
  </si>
  <si>
    <t>418</t>
  </si>
  <si>
    <t>Bio-Algihum® "Flüssigkonzentrat B"</t>
  </si>
  <si>
    <t>419</t>
  </si>
  <si>
    <t>Bio-Algihum® Terratop®Golf 3</t>
  </si>
  <si>
    <t>420</t>
  </si>
  <si>
    <t>Bio-Algihum® Terratop®Golf 6</t>
  </si>
  <si>
    <t>421</t>
  </si>
  <si>
    <t>Bio-Algihum® "Verdunstungsschutz"</t>
  </si>
  <si>
    <t>422</t>
  </si>
  <si>
    <t>Bio-Algihum® "Wurzelfott K"</t>
  </si>
  <si>
    <t>423</t>
  </si>
  <si>
    <t>RenoSan1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</si>
  <si>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</si>
  <si>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</si>
  <si>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</si>
  <si>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</si>
  <si>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</si>
  <si>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</si>
  <si>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</si>
  <si>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</si>
  <si>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</si>
  <si>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</si>
  <si>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</si>
  <si>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</si>
  <si>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</si>
  <si>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</si>
  <si>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</si>
  <si>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</si>
  <si>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</si>
  <si>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</si>
  <si>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</si>
  <si>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</si>
  <si>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</si>
  <si>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</si>
  <si>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</si>
  <si>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</si>
  <si>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</si>
  <si>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</si>
  <si>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</si>
  <si>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</si>
  <si>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</si>
  <si>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</si>
  <si>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</si>
  <si>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</si>
  <si>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</si>
  <si>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</si>
  <si>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</si>
  <si>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</si>
  <si>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</si>
  <si>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</si>
  <si>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</si>
  <si>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</si>
  <si>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</si>
  <si>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</si>
  <si>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</si>
  <si>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</si>
  <si>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</si>
  <si>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</si>
  <si>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</si>
  <si>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</si>
  <si>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</si>
  <si>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</si>
  <si>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</si>
  <si>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</si>
  <si>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</si>
  <si>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</si>
  <si>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</si>
  <si>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</si>
  <si>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</si>
  <si>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</si>
  <si>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</si>
  <si>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</si>
  <si>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</si>
  <si>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</si>
  <si>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</si>
  <si>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</si>
  <si>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</si>
  <si>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</si>
  <si>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</si>
  <si>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</si>
  <si>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</si>
  <si>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</si>
  <si>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</si>
  <si>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</si>
  <si>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</si>
  <si>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</si>
  <si>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</si>
  <si>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</si>
  <si>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</si>
  <si>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</si>
  <si>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</si>
  <si>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</si>
  <si>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</si>
  <si>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</si>
  <si>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</si>
  <si>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</si>
  <si>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</si>
  <si>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591</t>
  </si>
  <si>
    <t>592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</si>
  <si>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</si>
  <si>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</si>
  <si>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</si>
  <si>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</si>
  <si>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</si>
  <si>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</si>
  <si>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</si>
  <si>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</si>
  <si>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</si>
  <si>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</si>
  <si>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</si>
  <si>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</si>
  <si>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</si>
  <si>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608</t>
  </si>
  <si>
    <t>609</t>
  </si>
  <si>
    <t>610</t>
  </si>
  <si>
    <t>611</t>
  </si>
  <si>
    <t>613</t>
  </si>
  <si>
    <t>614</t>
  </si>
  <si>
    <t>618</t>
  </si>
  <si>
    <t>619</t>
  </si>
  <si>
    <t>620</t>
  </si>
  <si>
    <t>621</t>
  </si>
  <si>
    <t>622</t>
  </si>
  <si>
    <t>624</t>
  </si>
  <si>
    <t>625</t>
  </si>
  <si>
    <t>626</t>
  </si>
  <si>
    <t>627</t>
  </si>
  <si>
    <t>628</t>
  </si>
  <si>
    <t>629</t>
  </si>
  <si>
    <t>631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</si>
  <si>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</si>
  <si>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</si>
  <si>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</si>
  <si>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</si>
  <si>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</si>
  <si>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</si>
  <si>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</si>
  <si>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</si>
  <si>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</si>
  <si>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</si>
  <si>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</si>
  <si>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</si>
  <si>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</si>
  <si>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</si>
  <si>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</si>
  <si>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</si>
  <si>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</si>
  <si>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</si>
  <si>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</si>
  <si>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</si>
  <si>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</si>
  <si>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</si>
  <si>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</si>
  <si>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</si>
  <si>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</si>
  <si>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</si>
  <si>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</si>
  <si>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</si>
  <si>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</si>
  <si>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</si>
  <si>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</si>
  <si>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</si>
  <si>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</si>
  <si>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</si>
  <si>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</si>
  <si>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</si>
  <si>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</si>
  <si>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</si>
  <si>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</si>
  <si>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</si>
  <si>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</si>
  <si>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</si>
  <si>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</si>
  <si>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</si>
  <si>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</si>
  <si>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</si>
  <si>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</si>
  <si>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</si>
  <si>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</si>
  <si>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</si>
  <si>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</si>
  <si>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</si>
  <si>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</si>
  <si>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</si>
  <si>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</si>
  <si>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</si>
  <si>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</si>
  <si>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</si>
  <si>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</si>
  <si>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</si>
  <si>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</si>
  <si>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</si>
  <si>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</si>
  <si>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</si>
  <si>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</si>
  <si>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</si>
  <si>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</si>
  <si>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</si>
  <si>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</si>
  <si>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</si>
  <si>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</si>
  <si>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</si>
  <si>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</si>
  <si>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</si>
  <si>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</si>
  <si>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</si>
  <si>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</si>
  <si>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</si>
  <si>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</si>
  <si>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</si>
  <si>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</si>
  <si>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</si>
  <si>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</si>
  <si>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</si>
  <si>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</si>
  <si>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</si>
  <si>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</si>
  <si>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</si>
  <si>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</si>
  <si>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</si>
  <si>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</si>
  <si>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800</t>
  </si>
  <si>
    <t>801</t>
  </si>
  <si>
    <t>802</t>
  </si>
  <si>
    <t>803</t>
  </si>
  <si>
    <t>804</t>
  </si>
  <si>
    <t>Terrahum-Kompost</t>
  </si>
  <si>
    <t>805</t>
  </si>
  <si>
    <t>orgafert®BEB separiertes Gärpordukt NPK</t>
  </si>
  <si>
    <t>809</t>
  </si>
  <si>
    <t>RAL-Gärprodukt flüssig</t>
  </si>
  <si>
    <t>810</t>
  </si>
  <si>
    <t>RAL-NawaRo-Gärprodukt flüssig</t>
  </si>
  <si>
    <t>811</t>
  </si>
  <si>
    <t>HUMOOLIVA</t>
  </si>
  <si>
    <t>813</t>
  </si>
  <si>
    <t>Care Protector</t>
  </si>
  <si>
    <t>814</t>
  </si>
  <si>
    <t>Care Protector plus</t>
  </si>
  <si>
    <t>816</t>
  </si>
  <si>
    <t>Fulvital® Plus WSP</t>
  </si>
  <si>
    <t>817</t>
  </si>
  <si>
    <t>LITHOvit AMINO 25 TRIBOdyn Blattdünger</t>
  </si>
  <si>
    <t>818</t>
  </si>
  <si>
    <t>Phytoamin</t>
  </si>
  <si>
    <t>819</t>
  </si>
  <si>
    <t>Plantosol</t>
  </si>
  <si>
    <t>820</t>
  </si>
  <si>
    <t>NATREL Com-Crop</t>
  </si>
  <si>
    <t>822</t>
  </si>
  <si>
    <t>En-Crops® PowerSoil-Bio</t>
  </si>
  <si>
    <t>823</t>
  </si>
  <si>
    <t>En-Crops®TopSoil-Bio</t>
  </si>
  <si>
    <t>824</t>
  </si>
  <si>
    <t>Humusin</t>
  </si>
  <si>
    <t>825</t>
  </si>
  <si>
    <t>MicroSoil®</t>
  </si>
  <si>
    <t>826</t>
  </si>
  <si>
    <t>Mykoplant100-BT-H</t>
  </si>
  <si>
    <t>827</t>
  </si>
  <si>
    <t>PERLHUMUS®</t>
  </si>
  <si>
    <t>828</t>
  </si>
  <si>
    <t>RHIZO-MIC AGRO PLUS/SEED/TUBER</t>
  </si>
  <si>
    <t>830</t>
  </si>
  <si>
    <t>STALLGRENA</t>
  </si>
  <si>
    <t>831</t>
  </si>
  <si>
    <t>Vitanal Professional</t>
  </si>
  <si>
    <t>832</t>
  </si>
  <si>
    <t>PhytoGreen®-Bio-Booster</t>
  </si>
  <si>
    <t>833</t>
  </si>
  <si>
    <t>Agrosol liquid</t>
  </si>
  <si>
    <t>834</t>
  </si>
  <si>
    <t>ANGRO QM HUMIN</t>
  </si>
  <si>
    <t>835</t>
  </si>
  <si>
    <t>Vitanal Professional Wachstumsstarter</t>
  </si>
  <si>
    <t>836</t>
  </si>
  <si>
    <t>Vitanal Typ N</t>
  </si>
  <si>
    <t>837</t>
  </si>
  <si>
    <t>Quanterna® Bio Terra</t>
  </si>
  <si>
    <t>839</t>
  </si>
  <si>
    <t>Vitabac</t>
  </si>
  <si>
    <t>1130</t>
  </si>
  <si>
    <t>06927528-0972-46EA-80C4-6E8B27FA8591</t>
  </si>
  <si>
    <t>07473D18-D721-4C08-87B9-E337CF4A361E</t>
  </si>
  <si>
    <t>0B5DB1EA-A0C3-471D-9E89-81DD8805BBAE</t>
  </si>
  <si>
    <t>17DDB8B7-D714-494E-84A1-7626073A10C0</t>
  </si>
  <si>
    <t>272BC4EE-B701-4CDA-888C-D9DBEC6DEC39</t>
  </si>
  <si>
    <t>2DD00981-BD25-4D90-A033-734A319FC177</t>
  </si>
  <si>
    <t>3125F7DF-5DC1-4890-BB10-FB72EF6CDFC6</t>
  </si>
  <si>
    <t>3F0FFD65-E936-46CE-9841-B9AFC7F4215E</t>
  </si>
  <si>
    <t>427C3001-0A78-440F-8777-44317CC1D2B0</t>
  </si>
  <si>
    <t>4F70AAB9-F6DE-440C-813E-CC5DB8537BE9</t>
  </si>
  <si>
    <t>559AE564-3A08-4FE7-A59B-8D47CDD75E46</t>
  </si>
  <si>
    <t>68E8CC52-5E10-4F24-BD4F-A4EF8F9A73C2</t>
  </si>
  <si>
    <t>68E8CCF7-567F-4FBE-ABB0-0EF077EC3404</t>
  </si>
  <si>
    <t>6B198226-A720-4B8A-9656-92B3A205C7B1</t>
  </si>
  <si>
    <t>917E58F2-B27B-44AC-AC49-F7295769F201</t>
  </si>
  <si>
    <t>957A5733-3D82-483E-A2B1-8E81D73660DF</t>
  </si>
  <si>
    <t>98742F0F-AFBE-49B4-A589-88179929D0EB</t>
  </si>
  <si>
    <t>A8ABED47-75E6-4552-9A67-698062235DA3</t>
  </si>
  <si>
    <t>C661324E-A26C-45A0-A6BE-36231B2084C3</t>
  </si>
  <si>
    <t>D808D11E-13C6-4256-B809-393E061B2C4E</t>
  </si>
  <si>
    <t>DED41531-57E8-4B0A-97E3-6A6A2D065525</t>
  </si>
  <si>
    <t>E9AB3FB5-4FDC-4D03-99A0-5AE8B58CB03D</t>
  </si>
  <si>
    <t>EA25F449-478C-4F9E-A223-70BD1A79C85C</t>
  </si>
  <si>
    <t>EA3F8DF4-9344-44DD-B811-A91029189612</t>
  </si>
  <si>
    <t>Biogasanlagenrückstand flüssig</t>
  </si>
  <si>
    <t>Rindergülle</t>
  </si>
  <si>
    <t>Schweinegülle</t>
  </si>
  <si>
    <t>Ziegenfestmist</t>
  </si>
  <si>
    <t>Rinderfestmist</t>
  </si>
  <si>
    <t>Sonstige Komposte</t>
  </si>
  <si>
    <t>Schaffestmist</t>
  </si>
  <si>
    <t>Schweinefestmist</t>
  </si>
  <si>
    <t>Hühnertrockenkot</t>
  </si>
  <si>
    <t>Geflügelfestmist</t>
  </si>
  <si>
    <t>Kaninchenfestmist</t>
  </si>
  <si>
    <t>Pferdefestmist</t>
  </si>
  <si>
    <t>Rinderjauche</t>
  </si>
  <si>
    <t>Schweinejauche</t>
  </si>
  <si>
    <t>Schweinejauche, Rinderjauche</t>
  </si>
  <si>
    <t>Grünschnittkompost</t>
  </si>
  <si>
    <t>m³/ha</t>
  </si>
  <si>
    <t>l/ha</t>
  </si>
  <si>
    <t>t/ha</t>
  </si>
  <si>
    <t>B</t>
  </si>
  <si>
    <t>C</t>
  </si>
  <si>
    <t xml:space="preserve"> </t>
  </si>
  <si>
    <t>→</t>
  </si>
  <si>
    <t>Datum</t>
  </si>
  <si>
    <t>Vorfrucht, Zwischenfrucht</t>
  </si>
  <si>
    <t>Als ganze Pflanze abgefahren</t>
  </si>
  <si>
    <t>Ausgebrachte Menge (Frischmasse)</t>
  </si>
  <si>
    <t>Größe ha</t>
  </si>
  <si>
    <r>
      <rPr>
        <b/>
        <sz val="12"/>
        <rFont val="Calibri"/>
        <family val="2"/>
        <scheme val="minor"/>
      </rPr>
      <t>Abdeckung</t>
    </r>
    <r>
      <rPr>
        <sz val="12"/>
        <rFont val="Calibri"/>
        <family val="2"/>
        <scheme val="minor"/>
      </rPr>
      <t xml:space="preserve"> Ernteverfrühung (nicht für Spargeldammfolien)</t>
    </r>
  </si>
  <si>
    <r>
      <rPr>
        <b/>
        <sz val="12"/>
        <rFont val="Calibri"/>
        <family val="2"/>
        <scheme val="minor"/>
      </rPr>
      <t>Kompost</t>
    </r>
    <r>
      <rPr>
        <sz val="12"/>
        <rFont val="Calibri"/>
        <family val="2"/>
        <scheme val="minor"/>
      </rPr>
      <t xml:space="preserve"> 1. Vorjahr</t>
    </r>
  </si>
  <si>
    <r>
      <rPr>
        <b/>
        <sz val="12"/>
        <rFont val="Calibri"/>
        <family val="2"/>
        <scheme val="minor"/>
      </rPr>
      <t>Kompost</t>
    </r>
    <r>
      <rPr>
        <sz val="12"/>
        <rFont val="Calibri"/>
        <family val="2"/>
        <scheme val="minor"/>
      </rPr>
      <t xml:space="preserve"> 2. Vorjahr</t>
    </r>
  </si>
  <si>
    <r>
      <rPr>
        <b/>
        <sz val="12"/>
        <rFont val="Calibri"/>
        <family val="2"/>
        <scheme val="minor"/>
      </rPr>
      <t>Kompost</t>
    </r>
    <r>
      <rPr>
        <sz val="12"/>
        <rFont val="Calibri"/>
        <family val="2"/>
        <scheme val="minor"/>
      </rPr>
      <t xml:space="preserve"> 3. Vorjahr</t>
    </r>
  </si>
  <si>
    <r>
      <rPr>
        <b/>
        <sz val="12"/>
        <rFont val="Calibri"/>
        <family val="2"/>
        <scheme val="minor"/>
      </rPr>
      <t>Ertragsniveau</t>
    </r>
    <r>
      <rPr>
        <sz val="12"/>
        <rFont val="Calibri"/>
        <family val="2"/>
        <scheme val="minor"/>
      </rPr>
      <t xml:space="preserve"> Betrieb dt/ha</t>
    </r>
  </si>
  <si>
    <t>Abschläge durch N-Nachlieferung</t>
  </si>
  <si>
    <t>kg/ha</t>
  </si>
  <si>
    <t>Bodenprobe ab gleichjähriger Zweitkultur verpflichtend, sonst auch Schätzwerte möglich</t>
  </si>
  <si>
    <t>Schlag, Bewirtschaftungseinheit</t>
  </si>
  <si>
    <r>
      <t xml:space="preserve">bei </t>
    </r>
    <r>
      <rPr>
        <b/>
        <sz val="12"/>
        <rFont val="Calibri"/>
        <family val="2"/>
        <scheme val="minor"/>
      </rPr>
      <t>Ertrag</t>
    </r>
    <r>
      <rPr>
        <sz val="12"/>
        <rFont val="Calibri"/>
        <family val="2"/>
        <scheme val="minor"/>
      </rPr>
      <t xml:space="preserve"> dt/ha</t>
    </r>
  </si>
  <si>
    <r>
      <rPr>
        <b/>
        <sz val="12"/>
        <rFont val="Calibri"/>
        <family val="2"/>
        <scheme val="minor"/>
      </rPr>
      <t>Organ., organ.-mineral. Dünger</t>
    </r>
    <r>
      <rPr>
        <sz val="12"/>
        <rFont val="Calibri"/>
        <family val="2"/>
        <scheme val="minor"/>
      </rPr>
      <t xml:space="preserve"> </t>
    </r>
    <r>
      <rPr>
        <u/>
        <sz val="12"/>
        <rFont val="Calibri"/>
        <family val="2"/>
        <scheme val="minor"/>
      </rPr>
      <t xml:space="preserve">ohne Kompost </t>
    </r>
    <r>
      <rPr>
        <sz val="12"/>
        <rFont val="Calibri"/>
        <family val="2"/>
        <scheme val="minor"/>
      </rPr>
      <t>im Vorjahr</t>
    </r>
  </si>
  <si>
    <t>mg/100 g</t>
  </si>
  <si>
    <t>P2O5</t>
  </si>
  <si>
    <t>K2O</t>
  </si>
  <si>
    <t>MgO</t>
  </si>
  <si>
    <t>Gehaltsklasse</t>
  </si>
  <si>
    <t>Korrekturfaktor</t>
  </si>
  <si>
    <t>Bodenart</t>
  </si>
  <si>
    <t>A</t>
  </si>
  <si>
    <t>leicht</t>
  </si>
  <si>
    <t>mittel</t>
  </si>
  <si>
    <t>schwer</t>
  </si>
  <si>
    <t>D</t>
  </si>
  <si>
    <t>E</t>
  </si>
  <si>
    <t>Sudangras (25 % TS)</t>
  </si>
  <si>
    <t>Topinambur (Knolle)</t>
  </si>
  <si>
    <t>Zu- und Abschläge</t>
  </si>
  <si>
    <t>&gt; 40</t>
  </si>
  <si>
    <r>
      <t>Bodengehalt</t>
    </r>
    <r>
      <rPr>
        <b/>
        <sz val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mg/100 g</t>
    </r>
  </si>
  <si>
    <t>Feldabfuhr</t>
  </si>
  <si>
    <t>Ertragszu-, -abschlag</t>
  </si>
  <si>
    <t>Bodenzu-, -abschlag</t>
  </si>
  <si>
    <t>Bodengehalt</t>
  </si>
  <si>
    <t>Düngeberdarf ermittelt</t>
  </si>
  <si>
    <r>
      <t>K</t>
    </r>
    <r>
      <rPr>
        <b/>
        <vertAlign val="subscript"/>
        <sz val="14"/>
        <rFont val="Calibri"/>
        <family val="2"/>
        <scheme val="minor"/>
      </rPr>
      <t>2</t>
    </r>
    <r>
      <rPr>
        <b/>
        <sz val="14"/>
        <rFont val="Calibri"/>
        <family val="2"/>
        <scheme val="minor"/>
      </rPr>
      <t>0</t>
    </r>
  </si>
  <si>
    <t>Hopfen_Dolden (90 % TM)</t>
  </si>
  <si>
    <t>Hopfen_Rebenhäcksel (27 % TM)</t>
  </si>
  <si>
    <t>Hopfen_Ganzpflanze</t>
  </si>
  <si>
    <t>Tabak_Burley, Dachlufttrocknung</t>
  </si>
  <si>
    <t>Tabak_Virgin</t>
  </si>
  <si>
    <t>Grünland_1 Nutzung/Jahr</t>
  </si>
  <si>
    <t>Grünland_2 Nutzungen/Jahr</t>
  </si>
  <si>
    <t>Grünland_3 Nutzungen/Jahr</t>
  </si>
  <si>
    <t>Grünland_4 Nutzungen/Jahr</t>
  </si>
  <si>
    <t>Grünland_5 Nutzungen/Jahr</t>
  </si>
  <si>
    <t>Differenz dt/ha</t>
  </si>
  <si>
    <t>Zuschlag dt/ha</t>
  </si>
  <si>
    <t>Abschlag dt/ha</t>
  </si>
  <si>
    <r>
      <t xml:space="preserve">Gehaltsklasse </t>
    </r>
    <r>
      <rPr>
        <b/>
        <sz val="9"/>
        <rFont val="Calibri"/>
        <family val="2"/>
        <scheme val="minor"/>
      </rPr>
      <t>(alle Böden)</t>
    </r>
  </si>
  <si>
    <t>Faserpflanzen_Flachs (Faserlein), Ganzpfl. (86 % TS)</t>
  </si>
  <si>
    <t>Faserpflanzen_Hanf, Ganzpfl. (40 % TS)</t>
  </si>
  <si>
    <t>Faserpflanzen_Miscanthus, Ganzpfl. (80 % TS)</t>
  </si>
  <si>
    <t>Futterpflanzen_Kleegras (Ganzpfl. (20 % TS)</t>
  </si>
  <si>
    <t>Futterpflanzen_Luzerne (20% TS)</t>
  </si>
  <si>
    <t>Futterpflanzen_Luzernegras (Ganzpfl. (20% TS)</t>
  </si>
  <si>
    <t>Futterpflanzen_Rotklee, Ganzpflanze (20 % TS)</t>
  </si>
  <si>
    <t>Futterpflanzen_Silomais (28 % TS)</t>
  </si>
  <si>
    <t>Futterpflanzen_Silomais (35 % TS)</t>
  </si>
  <si>
    <t>Futterpflanzen_Weidelgras (Ackergras), Ganzpfl. (20 % TS)</t>
  </si>
  <si>
    <t>Getreide_Gerste, Brau 10 % Rohprotein in TS_Korn</t>
  </si>
  <si>
    <t>Getreide_Gerste, Brau 10 % Rohprotein in TS_Korn + Stroh (1: 0,7)</t>
  </si>
  <si>
    <t>Getreide_Gerste, Brau 10 % Rohprotein in TS_Stroh</t>
  </si>
  <si>
    <t>Getreide_Gerste, Brau 11 % Rohprotein in TS_Korn</t>
  </si>
  <si>
    <t>Getreide_Gerste, Brau 11 % Rohprotein in TS_Korn + Stroh (1: 0,7)</t>
  </si>
  <si>
    <t>Getreide_Gerste, Brau 11 % Rohprotein in TS_Stroh</t>
  </si>
  <si>
    <t>Getreide_Gerste, Sommerfutter 12 % Rohprotein_Korn</t>
  </si>
  <si>
    <t>Getreide_Gerste, Sommerfutter 12 % Rohprotein_Korn + Stroh (1: 08)</t>
  </si>
  <si>
    <t>Getreide_Gerste, Sommerfutter 12 % Rohprotein_Stroh</t>
  </si>
  <si>
    <t>Getreide_Gerste, Sommerfutter 13 % Rohprotein_Korn</t>
  </si>
  <si>
    <t>Getreide_Gerste, Sommerfutter 13 % Rohprotein_Korn + Stroh (1: 0,8)</t>
  </si>
  <si>
    <t>Getreide_Gerste, Sommerfutter 13 % Rohprotein_Stroh</t>
  </si>
  <si>
    <t>Getreide_Gerste, Winter 12 % Rohprotein in TS_Korn</t>
  </si>
  <si>
    <t>Getreide_Gerste, Winter 12 % Rohprotein in TS_Korn + Stroh (1: 0,7)</t>
  </si>
  <si>
    <t>Getreide_Gerste, Winter 12 % Rohprotein in TS_Stroh</t>
  </si>
  <si>
    <t>Getreide_Gerste, Winter 13 % Rohprotein in TS_Korn</t>
  </si>
  <si>
    <t>Getreide_Gerste, Winter 13 % Rohprotein in TS_Korn + Stroh (1: 0,7)</t>
  </si>
  <si>
    <t>Getreide_Gerste, Winter 13 % Rohprotein in TS_Stroh</t>
  </si>
  <si>
    <t>Getreide_Getreide, Ganzpflanzensilage (35 % TS)</t>
  </si>
  <si>
    <t>Getreide_Hafer 11 % Rohprotein in TS_Korn</t>
  </si>
  <si>
    <t>Getreide_Hafer 11 % Rohprotein in TS_Korn + Stroh (1: 1,1)</t>
  </si>
  <si>
    <t>Getreide_Hafer 11 % Rohprotein in TS_Stroh</t>
  </si>
  <si>
    <t>Getreide_Hafer 12 % Rohprotein in TS_Korn</t>
  </si>
  <si>
    <t>Getreide_Hafer 12 % Rohprotein in TS_Korn + Stroh (1: 1,1)</t>
  </si>
  <si>
    <t>Getreide_Hafer 12 % Rohprotein in TS_Stroh</t>
  </si>
  <si>
    <t>Getreide_Mais, Körner 10 % Rohprotein in TS_Korn</t>
  </si>
  <si>
    <t>Getreide_Mais, Körner 10 % Rohprotein in TS_Korn + Stroh (1: 1)</t>
  </si>
  <si>
    <t>Getreide_Mais, Körner 10 % Rohprotein in TS_Stroh</t>
  </si>
  <si>
    <t>Getreide_Mais, Körner 11 % Rohprotein in TS_Korn</t>
  </si>
  <si>
    <t>Getreide_Mais, Körner 11 % Rohprotein in TS_Korn + Stroh (1: 1)</t>
  </si>
  <si>
    <t>Getreide_Mais, Körner 11 % Rohprotein in TS_Stroh</t>
  </si>
  <si>
    <t>Getreide_Roggen 11 % Rohprotein in TS_Korn</t>
  </si>
  <si>
    <t>Getreide_Roggen 11 % Rohprotein in TS_Korn + Stroh (1: 0,9)</t>
  </si>
  <si>
    <t>Getreide_Roggen 11 % Rohprotein in TS_Stroh</t>
  </si>
  <si>
    <t>Getreide_Roggen 12 % Rohprotein in TS_Korn</t>
  </si>
  <si>
    <t>Getreide_Roggen 12 % Rohprotein in TS_Korn + Stroh (1: 0,9)</t>
  </si>
  <si>
    <t>Getreide_Roggen 12 % Rohprotein in TS_Stroh</t>
  </si>
  <si>
    <t>Getreide_Triticale, Winter 12 % Rohprotein in TS_Korn</t>
  </si>
  <si>
    <t>Getreide_Triticale, Winter 12 % Rohprotein in TS_Korn + Stroh (1: 0,9)</t>
  </si>
  <si>
    <t>Getreide_Triticale, Winter 12 % Rohprotein in TS_Stroh</t>
  </si>
  <si>
    <t>Getreide_Triticale, Winter-, 13 % Rohprotein in TS_Korn</t>
  </si>
  <si>
    <t>Getreide_Triticale, Winter-, 13 % Rohprotein in TS_Korn + Stroh (1: 0,9)</t>
  </si>
  <si>
    <t>Getreide_Triticale, Winter-, 13 % Rohprotein in TS_Stroh</t>
  </si>
  <si>
    <t>Getreide_Weizen 12 % Rohprotein inTS_Korn</t>
  </si>
  <si>
    <t>Getreide_Weizen 12 % Rohprotein inTS_Korn + Stroh (1: 0,8)</t>
  </si>
  <si>
    <t>Getreide_Weizen 12 % Rohprotein inTS_Stroh</t>
  </si>
  <si>
    <t>Getreide_Weizen 14 % Rohprotein in TS_Korn</t>
  </si>
  <si>
    <t>Getreide_Weizen 14 % Rohprotein in TS_Korn + Stroh (1: 0,8)</t>
  </si>
  <si>
    <t>Getreide_Weizen 14 % Rohprotein in TS_Stroh</t>
  </si>
  <si>
    <t>Getreide_Weizen 16 % Rohprotein in TS_Korn</t>
  </si>
  <si>
    <t>Getreide_Weizen 16 % Rohprotein in TS_Korn + Stroh (1: 0,8)</t>
  </si>
  <si>
    <t>Getreide_Weizen 16 % Rohprotein in TS_Stroh</t>
  </si>
  <si>
    <t>Hackfrüchte_Kartoffel_Knollen (22 % TS)</t>
  </si>
  <si>
    <t>Hackfrüchte_Kartoffel_Knolle + Kraut (1: 0,2)</t>
  </si>
  <si>
    <t>Hackfrüchte_Kartoffel_Kraut (15 % TS)</t>
  </si>
  <si>
    <t>Hackfrüchte_Zuckerrüben_Rübe (23 % TS)</t>
  </si>
  <si>
    <t>Hackfrüchte_Zuckerrüben_Rübe + Blatt (1: 0,7)</t>
  </si>
  <si>
    <t>Hackfrüchte_Zuckerrüben_Blatt (18 % TS)</t>
  </si>
  <si>
    <t>Hackfrüchte_Gehaltsrüben_Rübe (15 % TS)</t>
  </si>
  <si>
    <t>Hackfrüchte_Gehaltsrüben_Rübe + Blatt (1: 0,4)</t>
  </si>
  <si>
    <t>Hackfrüchte_Gehaltsrüben_Blatt (16 % TS)</t>
  </si>
  <si>
    <t>Hackfrüchte_Massenrübe_Rübe (12 % TS)</t>
  </si>
  <si>
    <t>Hackfrüchte_Massenrübe_Rübe + Blatt (1: 0,4)</t>
  </si>
  <si>
    <t>Hackfrüchte_Massenrübe_Blatt (16 % TS)</t>
  </si>
  <si>
    <t>Körnerleguminosen_Ackerbohnen 30 % Rohprotein in TS_Korn</t>
  </si>
  <si>
    <t>Körnerleguminosen_Ackerbohnen 30 % Rohprotein in TS_Korn + Stroh (1: 1)</t>
  </si>
  <si>
    <t>Körnerleguminosen_Ackerbohnen 30 % Rohprotein in TS_Stroh</t>
  </si>
  <si>
    <t>Körnerleguminosen_Erbsen 26 % Rohprotein in TS_Korn</t>
  </si>
  <si>
    <t>Körnerleguminosen_Erbsen 26 % Rohprotein in TS_Korn + Stroh (1: 1)</t>
  </si>
  <si>
    <t>Körnerleguminosen_Erbsen 26 % Rohprotein in TS_Stroh</t>
  </si>
  <si>
    <t>Körnerleguminosen_Lupine blau 33 % Rohprotein in TS_Korn</t>
  </si>
  <si>
    <t>Körnerleguminosen_Lupine blau 33 % Rohprotein in TS_Korn + Stroh (1: 1)</t>
  </si>
  <si>
    <t>Körnerleguminosen_Lupine blau 33 % Rohprotein in TS_Stroh</t>
  </si>
  <si>
    <t>Körnerleguminosen_Sojabohne 32 % Rohprotein in TS_Korn</t>
  </si>
  <si>
    <t>Körnerleguminosen_Sojabohne 32 % Rohprotein in TS_Korn + Stroh (1: 1)</t>
  </si>
  <si>
    <t>Körnerleguminosen_Sojabohne 32 % Rohprotein in TS_Stroh</t>
  </si>
  <si>
    <t>Ölfrüchte_Raps 23 % Rohprotein in TS_Korn (91 % TS)</t>
  </si>
  <si>
    <t>Ölfrüchte_Raps 23 % Rohprotein in TS_Korn + Stroh (1: 1,7)</t>
  </si>
  <si>
    <t>Ölfrüchte_Raps 23 % Rohprotein in TS_Stroh (86 % TS)</t>
  </si>
  <si>
    <t>Ölfrüchte_Sonnenblumen 20 % Rohprotein in TS_Korn (91 % TS)</t>
  </si>
  <si>
    <t>Ölfrüchte_Sonnenblumen 20 % Rohprotein in TS_Korn + Stroh (1: 2)</t>
  </si>
  <si>
    <t>Ölfrüchte_Sonnenblumen 20 % Rohprotein in TS_Stroh (86 % TS)</t>
  </si>
  <si>
    <t>Ölfrüchte_Senf_Korn (91 % TS)</t>
  </si>
  <si>
    <t>Ölfrüchte_Senf_Korn + Stroh (1: 1,5)</t>
  </si>
  <si>
    <t>Ölfrüchte_Senf_Stroh (86 % TS)</t>
  </si>
  <si>
    <t>Ölfrüchte_Öllein_Korn (91 % TS)</t>
  </si>
  <si>
    <t>Ölfrüchte_Öllein_Korn + Stroh (1: 1,5)</t>
  </si>
  <si>
    <t>Ölfrüchte_Öllein_Stroh (86 % TS)</t>
  </si>
  <si>
    <t>Obst_Obst_Apfel / Birne</t>
  </si>
  <si>
    <t>Obst_Kirsche</t>
  </si>
  <si>
    <t>Obst_Pflaume / Pfirsich</t>
  </si>
  <si>
    <t>Obst_Erdbeeren</t>
  </si>
  <si>
    <t>Obst_Himbeere</t>
  </si>
  <si>
    <t>Obst_Brombeere</t>
  </si>
  <si>
    <t>Obst_Johannisbeere / Holunderbeeren</t>
  </si>
  <si>
    <t>Obst_Stachelbeere</t>
  </si>
  <si>
    <t>Obst_Haselnüsse</t>
  </si>
  <si>
    <t>Obst_Walnüsse</t>
  </si>
  <si>
    <t>Obst_Kernobst</t>
  </si>
  <si>
    <t>Obst_Steinobst</t>
  </si>
  <si>
    <t>Weinbau_Trauben/Maische</t>
  </si>
  <si>
    <t>Weinbau_Wein</t>
  </si>
  <si>
    <t>Weinbau_Most</t>
  </si>
  <si>
    <t>Weinbau_Rebholzabfuhr Wuchs normal</t>
  </si>
  <si>
    <t>Weinbau_Rebholzabfuhr Wuchs stark</t>
  </si>
  <si>
    <t>Zwischenfrüchte_Kleegras</t>
  </si>
  <si>
    <t>Zwischenfrüchte_Alexandrinerklee</t>
  </si>
  <si>
    <t>Zwischenfrüchte_Erbsen / Ackerbohnen</t>
  </si>
  <si>
    <t>Zwischenfrüchte_Sommerwicken</t>
  </si>
  <si>
    <t>Zwischenfrüchte_Sommerraps</t>
  </si>
  <si>
    <t>Zwischenfrüchte_Winterraps</t>
  </si>
  <si>
    <t>Zwischenfrüchte_Winterrübsen</t>
  </si>
  <si>
    <t>Zwischenfrüchte_Sommerrübsen</t>
  </si>
  <si>
    <t>Zwischenfrüchte_Ölrettich</t>
  </si>
  <si>
    <t>Zwischenfrüchte_Senf</t>
  </si>
  <si>
    <t>Zwischenfrüchte_Phacelia</t>
  </si>
  <si>
    <t>Zwischenfrüchte_Sonnenblumen</t>
  </si>
  <si>
    <t>Zwischenfrüchte_Erbsen/Wicken/Sonnenblumen</t>
  </si>
  <si>
    <t>Zwischenfrüchte_Untersaat ohne Leguminosen</t>
  </si>
  <si>
    <t>Zwischenfrüchte_Untersaat mit Leguminosen</t>
  </si>
  <si>
    <t>Zwischenfrüchte_Winterroggen</t>
  </si>
  <si>
    <t>Zwischenfrüchte_zusätzl. Zwischenfrucht (Leguminosen)</t>
  </si>
  <si>
    <t>Zwischenfrüchte_zusätzl. Zwischenfrucht (ohne Leguminosen)</t>
  </si>
  <si>
    <t>Zwischenfrüchte_zusätzl. Zwischenfrucht (Gemenge Leg./Nichtleg.)</t>
  </si>
  <si>
    <t>Zwischenfrüchte_Zwischenfrüchte und 2. Hauptfrucht zur Biogasvergärung</t>
  </si>
  <si>
    <t>Zwischenfrüchte_Ganzpflanzensilage Getreide (35 % TS)</t>
  </si>
  <si>
    <t>Zwischenfrüchte_Silomais (20 % TS)</t>
  </si>
  <si>
    <t>Zwischenfrüchte_Sudangras (20 % TS)</t>
  </si>
  <si>
    <t>Vermehrung_Grassamen_Samen (86 % TS)</t>
  </si>
  <si>
    <t>Vermehrung_Grassamen_Samen + Stroh (1: 8)</t>
  </si>
  <si>
    <t>Vermehrung_Grassamen_Stroh (86 % TS)</t>
  </si>
  <si>
    <t>Vermehrung_Klee-; Luzerne_Samen (91 % TS)</t>
  </si>
  <si>
    <t>Vermehrung_Klee-; Luzerne_Samen + Stroh (1: 8)</t>
  </si>
  <si>
    <t>Vermehrung_Klee-; Luzerne_Stroh (86 % TS)</t>
  </si>
  <si>
    <t>Zwischenfrüchte_Weidelgras einjährig</t>
  </si>
  <si>
    <t>Zwischenfrüchte_Weidelgras Welsches</t>
  </si>
  <si>
    <t>Zwischenfrüchte_Raps, Sommer</t>
  </si>
  <si>
    <r>
      <t>K</t>
    </r>
    <r>
      <rPr>
        <b/>
        <vertAlign val="subscript"/>
        <sz val="14"/>
        <rFont val="Calibri"/>
        <family val="2"/>
        <scheme val="minor"/>
      </rPr>
      <t>2</t>
    </r>
    <r>
      <rPr>
        <b/>
        <sz val="14"/>
        <rFont val="Calibri"/>
        <family val="2"/>
        <scheme val="minor"/>
      </rPr>
      <t xml:space="preserve">0-, MgO-Düngebedarfsermittlung </t>
    </r>
    <r>
      <rPr>
        <sz val="12"/>
        <rFont val="Calibri"/>
        <family val="2"/>
        <scheme val="minor"/>
      </rPr>
      <t>(nicht verpflichtend)</t>
    </r>
  </si>
  <si>
    <t>Ertrags-niveau dt/ha</t>
  </si>
  <si>
    <t>N-Bedarfs-wert kg/ha</t>
  </si>
  <si>
    <t>Probe-nahme in Kultur-woche</t>
  </si>
  <si>
    <t>Probe-nahme-tiefe cm</t>
  </si>
  <si>
    <t xml:space="preserve">Abschlag N-Nach-lieferung für Folge-kultur kg/ha </t>
  </si>
  <si>
    <t>N-Nährstoff-gehalt kg/dt</t>
  </si>
  <si>
    <r>
      <t>P</t>
    </r>
    <r>
      <rPr>
        <b/>
        <vertAlign val="subscript"/>
        <sz val="10"/>
        <color theme="0"/>
        <rFont val="Arial"/>
        <family val="2"/>
      </rPr>
      <t>2</t>
    </r>
    <r>
      <rPr>
        <b/>
        <sz val="10"/>
        <color theme="0"/>
        <rFont val="Arial"/>
        <family val="2"/>
      </rPr>
      <t>O</t>
    </r>
    <r>
      <rPr>
        <b/>
        <vertAlign val="subscript"/>
        <sz val="10"/>
        <color theme="0"/>
        <rFont val="Arial"/>
        <family val="2"/>
      </rPr>
      <t>5</t>
    </r>
    <r>
      <rPr>
        <b/>
        <sz val="10"/>
        <color theme="0"/>
        <rFont val="Arial"/>
        <family val="2"/>
      </rPr>
      <t>-Nährstoff-gehalt kg/dt</t>
    </r>
  </si>
  <si>
    <r>
      <t>K</t>
    </r>
    <r>
      <rPr>
        <b/>
        <vertAlign val="subscript"/>
        <sz val="10"/>
        <color theme="0"/>
        <rFont val="Arial"/>
        <family val="2"/>
      </rPr>
      <t>2</t>
    </r>
    <r>
      <rPr>
        <b/>
        <sz val="10"/>
        <color theme="0"/>
        <rFont val="Arial"/>
        <family val="2"/>
      </rPr>
      <t>O-Nährstoff-gehalt kg/dt</t>
    </r>
  </si>
  <si>
    <t>MgO-Nährstoff-gehalt kg/dt</t>
  </si>
  <si>
    <t>2/3 Korrektur N-Nach-lieferung bei Probenahme &gt;= 4 Wo nach Einarbeitung kg/ha</t>
  </si>
  <si>
    <t>Vor dem Ausbringen von mehr als 50 kg N pro ha und Jahr ist eine Düngebedarfsermittlung für jeden Schlag oder jede Bewirtschaftungs-</t>
  </si>
  <si>
    <t>∑</t>
  </si>
  <si>
    <t>Etrags-niveau (Feld-abfuhr) dt/ha</t>
  </si>
  <si>
    <t>Spalte24</t>
  </si>
  <si>
    <t>Ertrags-differenz dt/ha</t>
  </si>
  <si>
    <t>Höchst-zuschläge bei höheren Erträgen je Einheit 
kg/ha</t>
  </si>
  <si>
    <t>Mindest-abschläge bei niedrigeren Erträgen je Einheit 
kg/ha</t>
  </si>
  <si>
    <t>Ausbring-einheit</t>
  </si>
  <si>
    <t>D2</t>
  </si>
  <si>
    <t>K2O Nährstoffgehaltsklasse Boden mittel</t>
  </si>
  <si>
    <t>K2O Zuschlag Feldabfuhr kg/ha Boden mittel</t>
  </si>
  <si>
    <t>K2O Faktor Feldabfuhr Boden mittel</t>
  </si>
  <si>
    <t>K2O Nährstoffgehaltsklasse Boden schwer</t>
  </si>
  <si>
    <t>K2O Zuschlag Feldabfuhr kg/ha Boden schwer</t>
  </si>
  <si>
    <t>K2O Faktor Feldabfuhr Boden schwer</t>
  </si>
  <si>
    <t>Nährstoffgehalt mg/100g Boden</t>
  </si>
  <si>
    <t>Nährstoffgehalt mg/100g Boden1</t>
  </si>
  <si>
    <t>K2O Nährstoffgehaltsklasse Boden leicht</t>
  </si>
  <si>
    <t>K2O Zuschlag Feldabfuhr kg/ha Boden leicht</t>
  </si>
  <si>
    <t>K2O Faktor Feldabfuhr Boden leicht</t>
  </si>
  <si>
    <t>Nährstoffgehalt mg/100g Boden2</t>
  </si>
  <si>
    <t>K2O Bodenart leicht</t>
  </si>
  <si>
    <t>K2O Bodenart mittel</t>
  </si>
  <si>
    <t>K2O Bodenart schwer</t>
  </si>
  <si>
    <t>Nährstoffgehalt mg/100g Boden3</t>
  </si>
  <si>
    <t>Nährstoffgehalt mg/100g Boden4</t>
  </si>
  <si>
    <t>Nährstoffgehalt mg/100g Boden5</t>
  </si>
  <si>
    <t>Nährstoffgehalt mg/100g Boden6</t>
  </si>
  <si>
    <t>MgO Nährstoffgehaltsklasse Boden leicht</t>
  </si>
  <si>
    <t>MgO Zuschlag Feldabfuhr kg/ha Boden leicht</t>
  </si>
  <si>
    <t>MgO Faktor Feldabfuhr Boden leicht</t>
  </si>
  <si>
    <t>MgO Nährstoffgehaltsklasse Boden mittel</t>
  </si>
  <si>
    <t>MgO Zuschlag Feldabfuhr kg/ha Boden mittel</t>
  </si>
  <si>
    <t>MgO Faktor Feldabfuhr Boden mittel</t>
  </si>
  <si>
    <t>MgO Bodenart schwer</t>
  </si>
  <si>
    <t>MgO Bodenart mittel</t>
  </si>
  <si>
    <t>MgO Bodenart leicht</t>
  </si>
  <si>
    <t>MgO Nährstoffgehaltsklasse Boden schwer</t>
  </si>
  <si>
    <t>MgO Zuschlag Feldabfuhr kg/ha Boden schwer</t>
  </si>
  <si>
    <t>MgO Faktor Feldabfuhr Boden schwer</t>
  </si>
  <si>
    <t>CAL-Methode</t>
  </si>
  <si>
    <t>MgO-Fest-legung kg/ha</t>
  </si>
  <si>
    <t>Nährstofffestlegung</t>
  </si>
  <si>
    <t>Düngebedarf ermittelt</t>
  </si>
  <si>
    <r>
      <t>Nach DüV dürfen phosphathaltige Düngemittel bei einem Bodengehalt von</t>
    </r>
    <r>
      <rPr>
        <u/>
        <sz val="8"/>
        <color rgb="FFFF0000"/>
        <rFont val="Calibri"/>
        <family val="2"/>
        <scheme val="minor"/>
      </rPr>
      <t xml:space="preserve"> mehr als 20 mg P</t>
    </r>
    <r>
      <rPr>
        <u/>
        <vertAlign val="subscript"/>
        <sz val="8"/>
        <color rgb="FFFF0000"/>
        <rFont val="Calibri"/>
        <family val="2"/>
        <scheme val="minor"/>
      </rPr>
      <t>2</t>
    </r>
    <r>
      <rPr>
        <u/>
        <sz val="8"/>
        <color rgb="FFFF0000"/>
        <rFont val="Calibri"/>
        <family val="2"/>
        <scheme val="minor"/>
      </rPr>
      <t>O</t>
    </r>
    <r>
      <rPr>
        <u/>
        <vertAlign val="subscript"/>
        <sz val="8"/>
        <color rgb="FFFF0000"/>
        <rFont val="Calibri"/>
        <family val="2"/>
        <scheme val="minor"/>
      </rPr>
      <t>5</t>
    </r>
    <r>
      <rPr>
        <u/>
        <sz val="8"/>
        <color rgb="FFFF0000"/>
        <rFont val="Calibri"/>
        <family val="2"/>
        <scheme val="minor"/>
      </rPr>
      <t>/100 g (CAL-Methode) maximal in Höhe der Feldabfuhr</t>
    </r>
    <r>
      <rPr>
        <sz val="8"/>
        <color rgb="FFFF0000"/>
        <rFont val="Calibri"/>
        <family val="2"/>
        <scheme val="minor"/>
      </rPr>
      <t xml:space="preserve"> gedüngt werden. Im Rahmen einer Fruchtfolge kann die Phosphatabfuhr für max. 3 Jahre zu Grunde gelegt werden.</t>
    </r>
  </si>
  <si>
    <r>
      <t>Im Rahmen einer Fruchtfolge kann die Phosphatabfuhr für max. 3 Jahre zu Grunde gelegt werden.Nach DüV dürfen phosphathaltige Düngemittel bei einem Bodengehalt von</t>
    </r>
    <r>
      <rPr>
        <u/>
        <sz val="8"/>
        <color rgb="FFFF0000"/>
        <rFont val="Calibri"/>
        <family val="2"/>
        <scheme val="minor"/>
      </rPr>
      <t xml:space="preserve"> mehr als 20 mg P</t>
    </r>
    <r>
      <rPr>
        <u/>
        <vertAlign val="subscript"/>
        <sz val="8"/>
        <color rgb="FFFF0000"/>
        <rFont val="Calibri"/>
        <family val="2"/>
        <scheme val="minor"/>
      </rPr>
      <t>2</t>
    </r>
    <r>
      <rPr>
        <u/>
        <sz val="8"/>
        <color rgb="FFFF0000"/>
        <rFont val="Calibri"/>
        <family val="2"/>
        <scheme val="minor"/>
      </rPr>
      <t>O</t>
    </r>
    <r>
      <rPr>
        <u/>
        <vertAlign val="subscript"/>
        <sz val="8"/>
        <color rgb="FFFF0000"/>
        <rFont val="Calibri"/>
        <family val="2"/>
        <scheme val="minor"/>
      </rPr>
      <t>5</t>
    </r>
    <r>
      <rPr>
        <u/>
        <sz val="8"/>
        <color rgb="FFFF0000"/>
        <rFont val="Calibri"/>
        <family val="2"/>
        <scheme val="minor"/>
      </rPr>
      <t>/100 g (CAL-Methode) maximal in Höhe der Feldabfuhr</t>
    </r>
    <r>
      <rPr>
        <sz val="8"/>
        <color rgb="FFFF0000"/>
        <rFont val="Calibri"/>
        <family val="2"/>
        <scheme val="minor"/>
      </rPr>
      <t xml:space="preserve"> gedüngt werden. </t>
    </r>
  </si>
  <si>
    <r>
      <t xml:space="preserve">Nährstofffestlegung </t>
    </r>
    <r>
      <rPr>
        <sz val="11"/>
        <rFont val="Calibri"/>
        <family val="2"/>
        <scheme val="minor"/>
      </rPr>
      <t>(Rhizom, Speicherwurzeln bei Dauerkulturen)</t>
    </r>
  </si>
  <si>
    <r>
      <rPr>
        <b/>
        <sz val="12"/>
        <rFont val="Calibri"/>
        <family val="2"/>
        <scheme val="minor"/>
      </rPr>
      <t xml:space="preserve">Organ., organ.-mineral. Dünger </t>
    </r>
    <r>
      <rPr>
        <sz val="12"/>
        <rFont val="Calibri"/>
        <family val="2"/>
        <scheme val="minor"/>
      </rPr>
      <t>ohne Kompost im Vorjahr</t>
    </r>
  </si>
  <si>
    <t>8.</t>
  </si>
  <si>
    <r>
      <t>N</t>
    </r>
    <r>
      <rPr>
        <b/>
        <vertAlign val="subscript"/>
        <sz val="12"/>
        <rFont val="Calibri"/>
        <family val="2"/>
        <scheme val="minor"/>
      </rPr>
      <t>min</t>
    </r>
    <r>
      <rPr>
        <b/>
        <sz val="12"/>
        <rFont val="Calibri"/>
        <family val="2"/>
        <scheme val="minor"/>
      </rPr>
      <t xml:space="preserve">-Gehalt Boden </t>
    </r>
    <r>
      <rPr>
        <sz val="12"/>
        <rFont val="Calibri"/>
        <family val="2"/>
        <scheme val="minor"/>
      </rPr>
      <t>kg/ha</t>
    </r>
  </si>
  <si>
    <r>
      <rPr>
        <b/>
        <sz val="12"/>
        <rFont val="Calibri"/>
        <family val="2"/>
        <scheme val="minor"/>
      </rPr>
      <t>Abdeckung Ernteverfrühung</t>
    </r>
    <r>
      <rPr>
        <sz val="12"/>
        <rFont val="Calibri"/>
        <family val="2"/>
        <scheme val="minor"/>
      </rPr>
      <t xml:space="preserve"> (nicht für Spargeldammfolien)</t>
    </r>
  </si>
  <si>
    <t>1.</t>
  </si>
  <si>
    <t>2.</t>
  </si>
  <si>
    <t>3.</t>
  </si>
  <si>
    <t>4.</t>
  </si>
  <si>
    <t>5.</t>
  </si>
  <si>
    <t>6.</t>
  </si>
  <si>
    <t>7.</t>
  </si>
  <si>
    <r>
      <t xml:space="preserve">Boden-Humusgehalt </t>
    </r>
    <r>
      <rPr>
        <sz val="12"/>
        <rFont val="Calibri"/>
        <family val="2"/>
        <scheme val="minor"/>
      </rPr>
      <t>größer 4,0 % (humos)</t>
    </r>
  </si>
  <si>
    <r>
      <t xml:space="preserve">Ertragsniveau </t>
    </r>
    <r>
      <rPr>
        <sz val="12"/>
        <rFont val="Calibri"/>
        <family val="2"/>
        <scheme val="minor"/>
      </rPr>
      <t>Betrieb dt/ha</t>
    </r>
  </si>
  <si>
    <r>
      <t>N</t>
    </r>
    <r>
      <rPr>
        <b/>
        <vertAlign val="subscript"/>
        <sz val="12"/>
        <rFont val="Calibri"/>
        <family val="2"/>
        <scheme val="minor"/>
      </rPr>
      <t>min</t>
    </r>
    <r>
      <rPr>
        <b/>
        <sz val="12"/>
        <rFont val="Calibri"/>
        <family val="2"/>
        <scheme val="minor"/>
      </rPr>
      <t xml:space="preserve">-Gehalt </t>
    </r>
    <r>
      <rPr>
        <sz val="12"/>
        <rFont val="Calibri"/>
        <family val="2"/>
        <scheme val="minor"/>
      </rPr>
      <t>Boden kg/ha</t>
    </r>
  </si>
  <si>
    <r>
      <rPr>
        <b/>
        <sz val="12"/>
        <rFont val="Calibri"/>
        <family val="2"/>
        <scheme val="minor"/>
      </rPr>
      <t>Vorkultur Gemüse</t>
    </r>
    <r>
      <rPr>
        <sz val="12"/>
        <rFont val="Calibri"/>
        <family val="2"/>
        <scheme val="minor"/>
      </rPr>
      <t xml:space="preserve"> (Pflanzung/Saat direkt vor Kultur im gleichen Jahr)</t>
    </r>
  </si>
  <si>
    <r>
      <t>4 Wochen und mehr vor N</t>
    </r>
    <r>
      <rPr>
        <vertAlign val="subscript"/>
        <sz val="12"/>
        <rFont val="Calibri"/>
        <family val="2"/>
        <scheme val="minor"/>
      </rPr>
      <t>min</t>
    </r>
    <r>
      <rPr>
        <sz val="12"/>
        <rFont val="Calibri"/>
        <family val="2"/>
        <scheme val="minor"/>
      </rPr>
      <t>-Probe eingearbeitet</t>
    </r>
  </si>
  <si>
    <t>Diaglutin Npellet</t>
  </si>
  <si>
    <r>
      <t xml:space="preserve">N-Düngebedarf </t>
    </r>
    <r>
      <rPr>
        <sz val="18"/>
        <rFont val="Calibri"/>
        <family val="2"/>
        <scheme val="minor"/>
      </rPr>
      <t xml:space="preserve">ermittelt </t>
    </r>
    <r>
      <rPr>
        <sz val="12"/>
        <rFont val="Calibri"/>
        <family val="2"/>
        <scheme val="minor"/>
      </rPr>
      <t>(=standortbezogene Obergenze)</t>
    </r>
  </si>
  <si>
    <r>
      <t xml:space="preserve">N-Düngebedarf </t>
    </r>
    <r>
      <rPr>
        <sz val="18"/>
        <rFont val="Calibri"/>
        <family val="2"/>
        <scheme val="minor"/>
      </rPr>
      <t xml:space="preserve">ermittelt </t>
    </r>
    <r>
      <rPr>
        <sz val="12"/>
        <rFont val="Calibri"/>
        <family val="2"/>
        <scheme val="minor"/>
      </rPr>
      <t>(=standortbezogene Obergrenze)</t>
    </r>
  </si>
  <si>
    <r>
      <t>Vor dem Ausbringen von mehr als 30 kg P</t>
    </r>
    <r>
      <rPr>
        <b/>
        <vertAlign val="subscript"/>
        <sz val="8"/>
        <color theme="9" tint="-0.249977111117893"/>
        <rFont val="Calibri"/>
        <family val="2"/>
        <scheme val="minor"/>
      </rPr>
      <t>2</t>
    </r>
    <r>
      <rPr>
        <b/>
        <sz val="8"/>
        <color theme="9" tint="-0.249977111117893"/>
        <rFont val="Calibri"/>
        <family val="2"/>
        <scheme val="minor"/>
      </rPr>
      <t>O</t>
    </r>
    <r>
      <rPr>
        <b/>
        <vertAlign val="subscript"/>
        <sz val="8"/>
        <color theme="9" tint="-0.249977111117893"/>
        <rFont val="Calibri"/>
        <family val="2"/>
        <scheme val="minor"/>
      </rPr>
      <t>5</t>
    </r>
    <r>
      <rPr>
        <b/>
        <sz val="8"/>
        <color theme="9" tint="-0.249977111117893"/>
        <rFont val="Calibri"/>
        <family val="2"/>
        <scheme val="minor"/>
      </rPr>
      <t xml:space="preserve"> pro ha und Jahr ist eine Düngebedarfsermittlung für jeden Schlag größer 1 ha vorgeschrieben. </t>
    </r>
  </si>
  <si>
    <t xml:space="preserve"> Flächen (Schläge, Bewirtschaftungseinheiten kleiner 0,5 ha können bis zu 2 ha zusammengefasst werden) mind. 1 der Satzkulturen. </t>
  </si>
  <si>
    <t>einheit vorgeschrieben. Bei satzweisem Anbau sind es bis zu 3 im Abstand von jeweils höchstens 6 Wochen, auf zusammengefassten</t>
  </si>
  <si>
    <t>Stand:</t>
  </si>
  <si>
    <t>Pilzsubstrat</t>
  </si>
  <si>
    <t>DüV-Bezeichnung</t>
  </si>
  <si>
    <t>keine Angabe</t>
  </si>
  <si>
    <t>Einheit 
N-Expert</t>
  </si>
  <si>
    <t>Ertrags-differenz %</t>
  </si>
  <si>
    <t>Zuschläge bei höheren Erträgen je Einheit 
kg/ha</t>
  </si>
  <si>
    <t>Abschläge bei niedrigeren Erträgen je Einheit 
kg/ha</t>
  </si>
  <si>
    <t>Weizen, Sommer</t>
  </si>
  <si>
    <t>Bergarnika_Blütenkörbe</t>
  </si>
  <si>
    <t>Ertrags-niveau FM dt/ha</t>
  </si>
  <si>
    <t>Ertrags-niveau TM 
dt/ha</t>
  </si>
  <si>
    <t>Ertrags-niveau abzügl. Abfall
TM 
dt/ha</t>
  </si>
  <si>
    <t>Zuschlag FM dt/ha</t>
  </si>
  <si>
    <t>Abschlag FM dt/ha</t>
  </si>
  <si>
    <t>EV
Faktor
FM/Droge</t>
  </si>
  <si>
    <t>Ertragszu-, -abschlag bei</t>
  </si>
  <si>
    <t xml:space="preserve">Berechnet
</t>
  </si>
  <si>
    <t>N-DBE-Auswahlliste</t>
  </si>
  <si>
    <r>
      <rPr>
        <b/>
        <sz val="12"/>
        <rFont val="Calibri"/>
        <family val="2"/>
        <scheme val="minor"/>
      </rPr>
      <t>Ertragsniveau</t>
    </r>
    <r>
      <rPr>
        <sz val="12"/>
        <rFont val="Calibri"/>
        <family val="2"/>
        <scheme val="minor"/>
      </rPr>
      <t xml:space="preserve"> Betrieb Trockenmasse dt/ha (Hauptprodukt)</t>
    </r>
  </si>
  <si>
    <r>
      <rPr>
        <b/>
        <sz val="12"/>
        <rFont val="Calibri"/>
        <family val="2"/>
        <scheme val="minor"/>
      </rPr>
      <t>Ertragsniveau</t>
    </r>
    <r>
      <rPr>
        <sz val="12"/>
        <rFont val="Calibri"/>
        <family val="2"/>
        <scheme val="minor"/>
      </rPr>
      <t xml:space="preserve"> Betrieb dt/ha (Hauptprodukt)</t>
    </r>
  </si>
  <si>
    <r>
      <t xml:space="preserve">bei </t>
    </r>
    <r>
      <rPr>
        <b/>
        <sz val="12"/>
        <rFont val="Calibri"/>
        <family val="2"/>
        <scheme val="minor"/>
      </rPr>
      <t xml:space="preserve">Ertrag </t>
    </r>
    <r>
      <rPr>
        <sz val="12"/>
        <rFont val="Calibri"/>
        <family val="2"/>
        <scheme val="minor"/>
      </rPr>
      <t>dt/ha</t>
    </r>
    <r>
      <rPr>
        <sz val="10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(Trockenmasse TM)</t>
    </r>
  </si>
  <si>
    <t>Probe-nahme-tiefe
cm</t>
  </si>
  <si>
    <t>Nährstoffgehalte Bayerische Landesanstalt für Landwirtschaft</t>
  </si>
  <si>
    <t>Prozess-abfall (z.B. Stiele, Abrieb)
% TM</t>
  </si>
  <si>
    <t>ohne</t>
  </si>
  <si>
    <t>% Prozessabfall</t>
  </si>
  <si>
    <t>Pimpinelle, Kleiner Wiesenknopf_Kraut (vorläufige Daten)</t>
  </si>
  <si>
    <t>Schnittknoblauch, Kraut bis 1. Schnitt (vorläufige Daten)</t>
  </si>
  <si>
    <t>Schnittknoblauch, Kraut nach 1. Schnitt (vorläufige Daten)</t>
  </si>
  <si>
    <r>
      <t xml:space="preserve">FM-Differenz 
</t>
    </r>
    <r>
      <rPr>
        <sz val="8"/>
        <rFont val="Calibri"/>
        <family val="2"/>
        <scheme val="minor"/>
      </rPr>
      <t>(incl. Abfall)</t>
    </r>
    <r>
      <rPr>
        <sz val="12"/>
        <rFont val="Calibri"/>
        <family val="2"/>
        <scheme val="minor"/>
      </rPr>
      <t xml:space="preserve">
dt/ha</t>
    </r>
  </si>
  <si>
    <r>
      <t xml:space="preserve">FM 
Betrieb 
</t>
    </r>
    <r>
      <rPr>
        <sz val="8"/>
        <rFont val="Calibri"/>
        <family val="2"/>
        <scheme val="minor"/>
      </rPr>
      <t>(incl. Abfall)</t>
    </r>
    <r>
      <rPr>
        <sz val="12"/>
        <rFont val="Calibri"/>
        <family val="2"/>
        <scheme val="minor"/>
      </rPr>
      <t xml:space="preserve">
dt/ha </t>
    </r>
  </si>
  <si>
    <t>Ein-trocknungs-verhältnis
FM/Droge</t>
  </si>
  <si>
    <t>Version für Excel 2010 und höher, DLR Rheinpfalz Mahler/Ziegler</t>
  </si>
  <si>
    <t>N-Mindest-abschlag 
kg/ha</t>
  </si>
  <si>
    <t>Dauerbrache</t>
  </si>
  <si>
    <t>Feldgras</t>
  </si>
  <si>
    <t>Gemüse ohne Kohlarten</t>
  </si>
  <si>
    <t>Getreide (mit/ohne Stroh)</t>
  </si>
  <si>
    <t>Grünland</t>
  </si>
  <si>
    <t>Kartoffel</t>
  </si>
  <si>
    <t>Klee</t>
  </si>
  <si>
    <t>Kleegras</t>
  </si>
  <si>
    <t>Kohlgemüse</t>
  </si>
  <si>
    <t>Körnerleguminosen</t>
  </si>
  <si>
    <t>Körnermais</t>
  </si>
  <si>
    <t>Luzerne</t>
  </si>
  <si>
    <t>Raps</t>
  </si>
  <si>
    <t>Rotationsbrache mit Leguminosen</t>
  </si>
  <si>
    <t>Rotationsbrache ohne Leguminosen</t>
  </si>
  <si>
    <t>Silomais</t>
  </si>
  <si>
    <t>Zuckerrüben ohne Blatternte</t>
  </si>
  <si>
    <t>Andere Zwischenfrüchte mit Nutzung</t>
  </si>
  <si>
    <t>Futterleguminose mit Nutzung</t>
  </si>
  <si>
    <t>Leguminose abgefroren</t>
  </si>
  <si>
    <t>Leguminose nicht abgefroren, Einarbeitung Frühjahr</t>
  </si>
  <si>
    <t>Leguminose nicht abgefroren, Einarbeitung Herbst</t>
  </si>
  <si>
    <t>Nichtleguminose abgefroren</t>
  </si>
  <si>
    <t>Nichtleguminose nicht abgefroren, Einarbeitung Frühjahr</t>
  </si>
  <si>
    <t>Nichtleguminose nicht abgefroren, Einarbeitung Herbst</t>
  </si>
  <si>
    <r>
      <rPr>
        <b/>
        <sz val="12"/>
        <rFont val="Calibri"/>
        <family val="2"/>
        <scheme val="minor"/>
      </rPr>
      <t>Vorfrucht</t>
    </r>
    <r>
      <rPr>
        <sz val="12"/>
        <rFont val="Calibri"/>
        <family val="2"/>
        <scheme val="minor"/>
      </rPr>
      <t xml:space="preserve"> (Hauptfrucht des Vorjahres)</t>
    </r>
  </si>
  <si>
    <t>Zwischenfrucht</t>
  </si>
  <si>
    <t>9.</t>
  </si>
  <si>
    <t>10.</t>
  </si>
  <si>
    <r>
      <t xml:space="preserve">Zwischenfrucht </t>
    </r>
    <r>
      <rPr>
        <sz val="12"/>
        <color rgb="FFFF0000"/>
        <rFont val="Calibri"/>
        <family val="2"/>
        <scheme val="minor"/>
      </rPr>
      <t>(keine Anrechnung bei Vorkultur Gemüse)</t>
    </r>
  </si>
  <si>
    <r>
      <rPr>
        <b/>
        <sz val="12"/>
        <rFont val="Calibri"/>
        <family val="2"/>
        <scheme val="minor"/>
      </rPr>
      <t>Vorfrucht</t>
    </r>
    <r>
      <rPr>
        <sz val="12"/>
        <rFont val="Calibri"/>
        <family val="2"/>
        <scheme val="minor"/>
      </rPr>
      <t xml:space="preserve"> (Hauptfrucht des Vorjahres, </t>
    </r>
    <r>
      <rPr>
        <sz val="12"/>
        <color rgb="FFFF0000"/>
        <rFont val="Calibri"/>
        <family val="2"/>
        <scheme val="minor"/>
      </rPr>
      <t>keine Anrechnung bei Vorkultur Gemüse</t>
    </r>
    <r>
      <rPr>
        <sz val="12"/>
        <rFont val="Calibri"/>
        <family val="2"/>
        <scheme val="minor"/>
      </rPr>
      <t>)</t>
    </r>
  </si>
  <si>
    <r>
      <t xml:space="preserve">Vorfrucht </t>
    </r>
    <r>
      <rPr>
        <sz val="12"/>
        <rFont val="Calibri"/>
        <family val="2"/>
        <scheme val="minor"/>
      </rPr>
      <t>(Hauptfrucht des Vorjahres</t>
    </r>
    <r>
      <rPr>
        <sz val="12"/>
        <rFont val="Calibri"/>
        <family val="2"/>
        <scheme val="minor"/>
      </rPr>
      <t>)</t>
    </r>
  </si>
  <si>
    <t>N-Bedarfswerte Bayerische Landesanstalt für Landwirtschaft</t>
  </si>
  <si>
    <t>Ackerschachtelhalm_Kraut (vorläufige Daten)</t>
  </si>
  <si>
    <t>Alant_Wurzel (vorläufige Daten)</t>
  </si>
  <si>
    <t>Ampfer, Krauser_Kraut nach Blüte (vorläufige Daten)</t>
  </si>
  <si>
    <t>Ampfer, Wiesen-_Blatt (vorläufige Daten)</t>
  </si>
  <si>
    <t>Anis_Samen (Droge!) (vorläufige Daten)</t>
  </si>
  <si>
    <t>Artischocke (Kardone)_Kraut (vorläufige Daten)</t>
  </si>
  <si>
    <t>Arzneifenchel_Früchte (Droge!) (vorläufige Daten)</t>
  </si>
  <si>
    <t>Arzneirhabarber_Wurzel (vorläufige Daten)</t>
  </si>
  <si>
    <t>Baikal-Helmkraut_Wurzel (vorläufige Daten)</t>
  </si>
  <si>
    <t>Baldrian_Wurzel (vorläufige Daten)</t>
  </si>
  <si>
    <t>Bärlauch_Blätter (vorläufige Daten)</t>
  </si>
  <si>
    <t>Basilikum_Kraut b. Blühbeginn (vorläufige Daten)</t>
  </si>
  <si>
    <t>Bergarnika_Wurzel (vorläufige Daten)</t>
  </si>
  <si>
    <t>Bergbohnenkraut_Blühendes Kraut (vorläufige Daten)</t>
  </si>
  <si>
    <t>Besenbeifuß (A. scoparia)_Kraut (vorläufige Daten)</t>
  </si>
  <si>
    <t>Bibernelle, Kleine_Wurzel (vorläufige Daten)</t>
  </si>
  <si>
    <t>Blaue Malve_Blühendes Kraut (vorläufige Daten)</t>
  </si>
  <si>
    <t>Zitronenmelisse_Blätter (vorläufige Daten)</t>
  </si>
  <si>
    <t>Ysop_Blühendes Kraut (vorläufige Daten)</t>
  </si>
  <si>
    <t>Winterheckenzwiebel, Kraut nach 1. Schnitt (vorläufige Daten)</t>
  </si>
  <si>
    <t>Winterheckenzwiebel, Kraut bis 1. Schnitt (vorläufige Daten)</t>
  </si>
  <si>
    <t>Wermut, Beifuß_Nicht blühendes Kraut (vorläufige Daten)</t>
  </si>
  <si>
    <t>Tragant, Chinesischer_Wurzel (vorläufige Daten)</t>
  </si>
  <si>
    <t>Tollkirsche_Kraut (vorläufige Daten)</t>
  </si>
  <si>
    <t>Thymian_Blühendes Kraut (vorläufige Daten)</t>
  </si>
  <si>
    <t>Steinklee, Gelber_Blühendes Kraut (vorläufige Daten)</t>
  </si>
  <si>
    <t>Spitzwegerich_Kraut (vorläufige Daten)</t>
  </si>
  <si>
    <t>Sonnenhut (E.purpurea)_Wurzel (jährl. Zuwachs) (vorläufige Daten)</t>
  </si>
  <si>
    <t>Sonnenhut (E.purpurea)_Wurzel (vorläufige Daten)</t>
  </si>
  <si>
    <t>Sonnenhut (E.purpurea)_Blühendes Kraut (vorläufige Daten)</t>
  </si>
  <si>
    <t>Sonnenhut (E.pallida)_Wurzel (jährl. Zuwachs) (vorläufige Daten)</t>
  </si>
  <si>
    <t>Sonnenhut (E.pallida)_Wurzel (vorläufige Daten)</t>
  </si>
  <si>
    <t>Sonnenhut (E.pallida)_Blühendes Kraut (vorläufige Daten)</t>
  </si>
  <si>
    <t>Sonnenhut (E.angustifolia)_Wurzel (jährl. Zuwachs) (vorläufige Daten)</t>
  </si>
  <si>
    <t>Sonnenhut (E.angustifolia)_Wurzel (vorläufige Daten)</t>
  </si>
  <si>
    <t>Sonnenhut (E.angustifolia)_Blühendes Kraut (vorläufige Daten)</t>
  </si>
  <si>
    <t>Siegesbeckia_Blühendes Kraut (vorläufige Daten)</t>
  </si>
  <si>
    <t>Senf, Gelber/Weißer_Samen (vorläufige Daten)</t>
  </si>
  <si>
    <t>Senf, Brauner_Samen (vorläufige Daten)</t>
  </si>
  <si>
    <t>Schwarzkümmel_Samen (Droge!) (vorläufige Daten)</t>
  </si>
  <si>
    <t>Schöllkraut_Blühendes Kraut (vorläufige Daten)</t>
  </si>
  <si>
    <t>Schnittlauch, Kraut, nach 1. Schnitt (vorläufige Daten)</t>
  </si>
  <si>
    <t>Schnittlauch, Kraut bis 1. Schnitt (vorläufige Daten)</t>
  </si>
  <si>
    <t>Schnittlauch, für Treiberei (vorläufige Daten)</t>
  </si>
  <si>
    <t>Schlüsselblume_Wurzel (vorläufige Daten)</t>
  </si>
  <si>
    <t>Schafgarbe_Blühhorizont (vorläufige Daten)</t>
  </si>
  <si>
    <t>Schabzigerklee_Blühendes Kraut (vorläufige Daten)</t>
  </si>
  <si>
    <t>Saposhnikovia_Wurzel (vorläufige Daten)</t>
  </si>
  <si>
    <t>Salbei (Salvia officinalis)_Nicht blühendes Kraut (vorläufige Daten)</t>
  </si>
  <si>
    <t>Rotwurzelsalbei (S. miltior.)_Wurzel (vorläufige Daten)</t>
  </si>
  <si>
    <t>Rosmarin_Nicht blühendes Kraut (vorläufige Daten)</t>
  </si>
  <si>
    <t>Ringelblume_Blütenkörbe (vorläufige Daten)</t>
  </si>
  <si>
    <t>Ringelblume_Blühendes Kraut (vorläufige Daten)</t>
  </si>
  <si>
    <t>Pfefferminze, Minzen_Nicht blühendes Kraut (vorläufige Daten)</t>
  </si>
  <si>
    <t>Petersilie, Blatt-_Blatt nach einem Schnitt (vorläufige Daten)</t>
  </si>
  <si>
    <t>Petersilie, Blatt-_Blatt bis 1. Schnitt (vorläufige Daten)</t>
  </si>
  <si>
    <t>Oregano (Dost)_Blühendes Kraut (vorläufige Daten)</t>
  </si>
  <si>
    <t>Nachtkerze_Samen (Droge!) (vorläufige Daten)</t>
  </si>
  <si>
    <t>Mutterkraut, Chin. (L. jap.)_Blühendes Kraut (vorläufige Daten)</t>
  </si>
  <si>
    <t>Mutterkraut (T. parthenium)_Blühendes Kraut (vorläufige Daten)</t>
  </si>
  <si>
    <t>Muskatteller Salbei_Blühendes Kraut (vorläufige Daten)</t>
  </si>
  <si>
    <t>Mohn_Samen und Kapseln (vorläufige Daten)</t>
  </si>
  <si>
    <t>Melde_Kraut (vorläufige Daten)</t>
  </si>
  <si>
    <t>Meerrettich_Wurzel (vorläufige Daten)</t>
  </si>
  <si>
    <t>Mariendistel_Samen (Droge!) (vorläufige Daten)</t>
  </si>
  <si>
    <t>Majoran_Kraut bei Blühbeginn (vorläufige Daten)</t>
  </si>
  <si>
    <t>Mädesüß_Blühendes Kraut (vorläufige Daten)</t>
  </si>
  <si>
    <t>Löwenzahn_Kraut (vorläufige Daten)</t>
  </si>
  <si>
    <t>Liebstöckel_Wurzel (vorläufige Daten)</t>
  </si>
  <si>
    <t>Liebstöckel_Nicht blühendes Kraut (vorläufige Daten)</t>
  </si>
  <si>
    <t>Lavendel_Blütenähren (vorläufige Daten)</t>
  </si>
  <si>
    <t>Kümmel_Früchte (Droge!) (vorläufige Daten)</t>
  </si>
  <si>
    <t>Kornblume_Kraut ohne Blüten (vorläufige Daten)</t>
  </si>
  <si>
    <t>Kornblume_Blüten (vorläufige Daten)</t>
  </si>
  <si>
    <t>Kornblume_Blühendes Kraut (vorläufige Daten)</t>
  </si>
  <si>
    <t>Koriander_Samen (Droge!) (vorläufige Daten)</t>
  </si>
  <si>
    <t>Koriander_Kraut (vorläufige Daten)</t>
  </si>
  <si>
    <t>Knoblauch_Zwiebel ganz (vorläufige Daten)</t>
  </si>
  <si>
    <t>Kerbel_Kraut (vorläufige Daten)</t>
  </si>
  <si>
    <t>Kapuzinerkresse_Blühendes Kraut (vorläufige Daten)</t>
  </si>
  <si>
    <t>Kamille_Kraut ohne Blüten (vorläufige Daten)</t>
  </si>
  <si>
    <t>Kamille_Blüten, Blühhorizont (vorläufige Daten)</t>
  </si>
  <si>
    <t>Johanniskraut_Blühendes Kraut (vorläufige Daten)</t>
  </si>
  <si>
    <t>Goldrute_Blühhorizont (vorläufige Daten)</t>
  </si>
  <si>
    <t>Gartenkresse_Kraut (vorläufige Daten)</t>
  </si>
  <si>
    <t>Galega (Geißraute)_Kraut (vorläufige Daten)</t>
  </si>
  <si>
    <t>Frauenmantel_Blühendes Kraut (vorläufige Daten)</t>
  </si>
  <si>
    <t>Färberdistel_Samen (vorläufige Daten)</t>
  </si>
  <si>
    <t>Estragon, Deutscher_Nicht blühendes Kraut (vorläufige Daten)</t>
  </si>
  <si>
    <t>Enzian_Wurzel nach 4 Jahren (vorläufige Daten)</t>
  </si>
  <si>
    <t>Engelwurz, Europäische_Wurzel (vorläufige Daten)</t>
  </si>
  <si>
    <t>Engelwurz, Chinesische_Wurzel (vorläufige Daten)</t>
  </si>
  <si>
    <t>Eisenkraut, Echtes_Kraut (vorläufige Daten)</t>
  </si>
  <si>
    <t>Eibisch_Wurzel (vorläufige Daten)</t>
  </si>
  <si>
    <t>Drachenkopf_Blühendes Kraut (vorläufige Daten)</t>
  </si>
  <si>
    <t>Dill_Kraut b. Knospenansatz (vorläufige Daten)</t>
  </si>
  <si>
    <t>Brunnenkresse_Kraut (vorläufige Daten)</t>
  </si>
  <si>
    <t>Brennnessel, Kleine_Blühendes Kraut (vorläufige Daten)</t>
  </si>
  <si>
    <t>Brennnessel, Große_Wurzel (vorläufige Daten)</t>
  </si>
  <si>
    <t>Brennnessel, Große_Nicht blühendes Kraut (vorläufige Daten)</t>
  </si>
  <si>
    <t>Braunelle_Kraut zu Ende der Blüte (vorläufige Daten)</t>
  </si>
  <si>
    <t>Borretsch_Blühendes Kraut (vorläufige Daten)</t>
  </si>
  <si>
    <t>Bohnenkraut, einjährig_Blühendes Kraut (vorläufige Daten)</t>
  </si>
  <si>
    <t>Bockshornklee_Samen (Droge!) (vorläufige Daten)</t>
  </si>
  <si>
    <t>Blaue Malven_Blüten (vorläufige Daten)</t>
  </si>
  <si>
    <t>Differenz %</t>
  </si>
  <si>
    <t>Ertragsdifferenz %</t>
  </si>
  <si>
    <t>Spalte1</t>
  </si>
  <si>
    <r>
      <t xml:space="preserve">Eine Ausbringung in Teilgaben ist möglich! 
</t>
    </r>
    <r>
      <rPr>
        <b/>
        <u/>
        <sz val="12"/>
        <color rgb="FFFF0000"/>
        <rFont val="Calibri"/>
        <family val="2"/>
        <scheme val="minor"/>
      </rPr>
      <t>Eine Überschreitung des ermittelten Düngebedarfs</t>
    </r>
    <r>
      <rPr>
        <b/>
        <sz val="12"/>
        <color rgb="FFFF0000"/>
        <rFont val="Calibri"/>
        <family val="2"/>
        <scheme val="minor"/>
      </rPr>
      <t xml:space="preserve"> aufgrund nachträglich eingetretener Umstände (Bestandsentwicklung, Witterungsereignisse) </t>
    </r>
    <r>
      <rPr>
        <b/>
        <u/>
        <sz val="12"/>
        <color rgb="FFFF0000"/>
        <rFont val="Calibri"/>
        <family val="2"/>
        <scheme val="minor"/>
      </rPr>
      <t>ist nur in Höhe von max. 10 % erlaubt und ist schriftlich zu begründen</t>
    </r>
    <r>
      <rPr>
        <b/>
        <sz val="12"/>
        <color rgb="FFFF0000"/>
        <rFont val="Calibri"/>
        <family val="2"/>
        <scheme val="minor"/>
      </rPr>
      <t>.</t>
    </r>
  </si>
  <si>
    <r>
      <rPr>
        <sz val="11"/>
        <color rgb="FFFF0000"/>
        <rFont val="Calibri"/>
        <family val="2"/>
        <scheme val="minor"/>
      </rPr>
      <t xml:space="preserve">Eine Ausbringung in Teilgaben ist möglich! 
</t>
    </r>
    <r>
      <rPr>
        <b/>
        <u/>
        <sz val="12"/>
        <color rgb="FFFF0000"/>
        <rFont val="Calibri"/>
        <family val="2"/>
        <scheme val="minor"/>
      </rPr>
      <t xml:space="preserve">Eine Überschreitung des ermittelten Düngebedarfs </t>
    </r>
    <r>
      <rPr>
        <b/>
        <sz val="12"/>
        <color rgb="FFFF0000"/>
        <rFont val="Calibri"/>
        <family val="2"/>
        <scheme val="minor"/>
      </rPr>
      <t xml:space="preserve">aufgrund nachträglich eingetretener Umstände (Bestandsentwicklung, Witterungsereignisse) </t>
    </r>
    <r>
      <rPr>
        <b/>
        <u/>
        <sz val="12"/>
        <color rgb="FFFF0000"/>
        <rFont val="Calibri"/>
        <family val="2"/>
        <scheme val="minor"/>
      </rPr>
      <t>ist nur in Höhe von max. 10 % erlaubt</t>
    </r>
    <r>
      <rPr>
        <b/>
        <sz val="12"/>
        <color rgb="FFFF0000"/>
        <rFont val="Calibri"/>
        <family val="2"/>
        <scheme val="minor"/>
      </rPr>
      <t xml:space="preserve"> </t>
    </r>
    <r>
      <rPr>
        <b/>
        <u/>
        <sz val="12"/>
        <color rgb="FFFF0000"/>
        <rFont val="Calibri"/>
        <family val="2"/>
        <scheme val="minor"/>
      </rPr>
      <t>und ist schriftlich zu begründen.</t>
    </r>
  </si>
  <si>
    <r>
      <t xml:space="preserve">Stickstoff-Düngebedarfsermittlung GEMÜSE, Erdbeere </t>
    </r>
    <r>
      <rPr>
        <sz val="14"/>
        <rFont val="Calibri"/>
        <family val="2"/>
        <scheme val="minor"/>
      </rPr>
      <t>DüV 2017/Änd. 2020</t>
    </r>
  </si>
  <si>
    <r>
      <t xml:space="preserve">Phosphat-Düngebedarfsermittlung GEMÜSE, Erdbeere </t>
    </r>
    <r>
      <rPr>
        <sz val="14"/>
        <rFont val="Calibri"/>
        <family val="2"/>
        <scheme val="minor"/>
      </rPr>
      <t>DüV 2017/Änd. 2020</t>
    </r>
  </si>
  <si>
    <t>Quellen: DüV 2017/Änd. 2020, N-Expertdaten IGZ Großbeeren</t>
  </si>
  <si>
    <r>
      <t>P</t>
    </r>
    <r>
      <rPr>
        <b/>
        <vertAlign val="subscript"/>
        <sz val="18"/>
        <color rgb="FFFF0000"/>
        <rFont val="Calibri"/>
        <family val="2"/>
        <scheme val="minor"/>
      </rPr>
      <t>2</t>
    </r>
    <r>
      <rPr>
        <b/>
        <sz val="18"/>
        <color rgb="FFFF0000"/>
        <rFont val="Calibri"/>
        <family val="2"/>
        <scheme val="minor"/>
      </rPr>
      <t>O</t>
    </r>
    <r>
      <rPr>
        <b/>
        <vertAlign val="subscript"/>
        <sz val="18"/>
        <color rgb="FFFF0000"/>
        <rFont val="Calibri"/>
        <family val="2"/>
        <scheme val="minor"/>
      </rPr>
      <t>5</t>
    </r>
    <r>
      <rPr>
        <b/>
        <sz val="18"/>
        <color rgb="FFFF0000"/>
        <rFont val="Calibri"/>
        <family val="2"/>
        <scheme val="minor"/>
      </rPr>
      <t xml:space="preserve">-Obergrenze </t>
    </r>
    <r>
      <rPr>
        <sz val="14"/>
        <color rgb="FFFF0000"/>
        <rFont val="Calibri"/>
        <family val="2"/>
        <scheme val="minor"/>
      </rPr>
      <t xml:space="preserve">in </t>
    </r>
    <r>
      <rPr>
        <u/>
        <sz val="14"/>
        <color rgb="FFFF0000"/>
        <rFont val="Calibri"/>
        <family val="2"/>
        <scheme val="minor"/>
      </rPr>
      <t xml:space="preserve">phosphatgefährdeten Gebieten </t>
    </r>
    <r>
      <rPr>
        <sz val="14"/>
        <color rgb="FFFF0000"/>
        <rFont val="Calibri"/>
        <family val="2"/>
        <scheme val="minor"/>
      </rPr>
      <t xml:space="preserve">nach Landesdüngeverordnung Rheinland-Pfalz 2019 </t>
    </r>
  </si>
  <si>
    <r>
      <t>P</t>
    </r>
    <r>
      <rPr>
        <b/>
        <vertAlign val="subscript"/>
        <sz val="18"/>
        <color rgb="FFFF0000"/>
        <rFont val="Calibri"/>
        <family val="2"/>
        <scheme val="minor"/>
      </rPr>
      <t>2</t>
    </r>
    <r>
      <rPr>
        <b/>
        <sz val="18"/>
        <color rgb="FFFF0000"/>
        <rFont val="Calibri"/>
        <family val="2"/>
        <scheme val="minor"/>
      </rPr>
      <t>O</t>
    </r>
    <r>
      <rPr>
        <b/>
        <vertAlign val="subscript"/>
        <sz val="18"/>
        <color rgb="FFFF0000"/>
        <rFont val="Calibri"/>
        <family val="2"/>
        <scheme val="minor"/>
      </rPr>
      <t>5</t>
    </r>
    <r>
      <rPr>
        <b/>
        <sz val="18"/>
        <color rgb="FFFF0000"/>
        <rFont val="Calibri"/>
        <family val="2"/>
        <scheme val="minor"/>
      </rPr>
      <t xml:space="preserve">-Obergrenze </t>
    </r>
    <r>
      <rPr>
        <sz val="14"/>
        <color rgb="FFFF0000"/>
        <rFont val="Calibri"/>
        <family val="2"/>
        <scheme val="minor"/>
      </rPr>
      <t xml:space="preserve">in </t>
    </r>
    <r>
      <rPr>
        <u/>
        <sz val="14"/>
        <color rgb="FFFF0000"/>
        <rFont val="Calibri"/>
        <family val="2"/>
        <scheme val="minor"/>
      </rPr>
      <t xml:space="preserve">phosphatgefährdeten Gebieten </t>
    </r>
    <r>
      <rPr>
        <sz val="14"/>
        <color rgb="FFFF0000"/>
        <rFont val="Calibri"/>
        <family val="2"/>
        <scheme val="minor"/>
      </rPr>
      <t>nach Landesdüngeverordnung Rheinland-Pfalz 2019</t>
    </r>
  </si>
  <si>
    <r>
      <t>Phosphat-Düngebedarfsermittlung ACKERBAU</t>
    </r>
    <r>
      <rPr>
        <sz val="14"/>
        <rFont val="Calibri"/>
        <family val="2"/>
        <scheme val="minor"/>
      </rPr>
      <t xml:space="preserve"> DüV 2017/Änd. 2020</t>
    </r>
  </si>
  <si>
    <r>
      <t xml:space="preserve">Stickstoff-Düngebedarfsermittlung ACKERBAU </t>
    </r>
    <r>
      <rPr>
        <sz val="14"/>
        <rFont val="Calibri"/>
        <family val="2"/>
        <scheme val="minor"/>
      </rPr>
      <t>DüV 2017/Änd. 2020</t>
    </r>
  </si>
  <si>
    <r>
      <t xml:space="preserve">Phosphat-Düngebedarfsermittlung Heil- u. Gewürzpflanzen </t>
    </r>
    <r>
      <rPr>
        <sz val="14"/>
        <rFont val="Calibri"/>
        <family val="2"/>
        <scheme val="minor"/>
      </rPr>
      <t>DüV 2017/Änd. 2020</t>
    </r>
  </si>
  <si>
    <r>
      <t xml:space="preserve">Stickstoff-Düngebedarfsermittlung Heil- u. Gewürzpflanzen </t>
    </r>
    <r>
      <rPr>
        <sz val="14"/>
        <rFont val="Calibri"/>
        <family val="2"/>
        <scheme val="minor"/>
      </rPr>
      <t>DüV 2017/Änd. 2020</t>
    </r>
  </si>
  <si>
    <r>
      <t xml:space="preserve">Kultur </t>
    </r>
    <r>
      <rPr>
        <vertAlign val="superscript"/>
        <sz val="12"/>
        <rFont val="Calibri"/>
        <family val="2"/>
        <scheme val="minor"/>
      </rPr>
      <t>(*vorläufige Daten)</t>
    </r>
  </si>
  <si>
    <t>Ackerbohne*</t>
  </si>
  <si>
    <t>Ackerbohne mit Stroh*</t>
  </si>
  <si>
    <t>Amaranth*</t>
  </si>
  <si>
    <t>Amaranth mit Stroh*</t>
  </si>
  <si>
    <t>Buchweizen*</t>
  </si>
  <si>
    <t>Buchweizen mit Stroh*</t>
  </si>
  <si>
    <t>Corn-Cob-Mix*</t>
  </si>
  <si>
    <t>Dinkel (mit Spelzen)*</t>
  </si>
  <si>
    <t>Dinkel (mit Spelzen) mit Stroh*</t>
  </si>
  <si>
    <t>Emmer (Einkorn)*</t>
  </si>
  <si>
    <t>Emmer (Einkorn) mit Stroh*</t>
  </si>
  <si>
    <t>Erbse*</t>
  </si>
  <si>
    <t>Erbse mit Stroh*</t>
  </si>
  <si>
    <t>Lein, Faser (Flachs), Ganzpflanze*</t>
  </si>
  <si>
    <t>Futterrübe, Gehalts-*</t>
  </si>
  <si>
    <t>Futterrübe, Gehalts- mit Blatt*</t>
  </si>
  <si>
    <t>Futterrübe, Massen-*</t>
  </si>
  <si>
    <t>Futterrübe, Massen- mit Blatt*</t>
  </si>
  <si>
    <t>Gerste, Sommer</t>
  </si>
  <si>
    <t xml:space="preserve">Gerste, Sommer mit Stroh </t>
  </si>
  <si>
    <t>Gerste, Winter</t>
  </si>
  <si>
    <t xml:space="preserve">Gerste, Winter mit Stroh </t>
  </si>
  <si>
    <t>Grassamenvermehrung*</t>
  </si>
  <si>
    <t>Grassamenvermehrung mit Stroh*</t>
  </si>
  <si>
    <t>Hafer</t>
  </si>
  <si>
    <t xml:space="preserve">Hafer mit Stroh </t>
  </si>
  <si>
    <t>Hanf, Ganzpflanze*</t>
  </si>
  <si>
    <t>Hirse*</t>
  </si>
  <si>
    <t>Hirse mit Stroh*</t>
  </si>
  <si>
    <t>Hopfen, Dolden*</t>
  </si>
  <si>
    <t>Hopfen, Dolden (Herkules)*</t>
  </si>
  <si>
    <t>Kartoffel mit Kraut</t>
  </si>
  <si>
    <t>Kartoffel, früh</t>
  </si>
  <si>
    <t>Kartoffel, früh mit Kraut</t>
  </si>
  <si>
    <t>Klee-, Luzernevermehrung*</t>
  </si>
  <si>
    <t>Klee-, Luzernevermehrung mit Stroh*</t>
  </si>
  <si>
    <t>Leindotter*</t>
  </si>
  <si>
    <t>Leindotter mit Kraut*</t>
  </si>
  <si>
    <t>Linse*</t>
  </si>
  <si>
    <t>Linse mit Stroh*</t>
  </si>
  <si>
    <t>Lupine blau*</t>
  </si>
  <si>
    <t>Lupine blau mit Stroh*</t>
  </si>
  <si>
    <t>Mais, Körner</t>
  </si>
  <si>
    <t xml:space="preserve">Mais, Körner mit Stroh </t>
  </si>
  <si>
    <t>Mais, Silo 28 % TS</t>
  </si>
  <si>
    <t>Mais, Silo 35 % TS</t>
  </si>
  <si>
    <t>Miscanthus, Ganzpflanze*</t>
  </si>
  <si>
    <t>Lein, Öl</t>
  </si>
  <si>
    <t xml:space="preserve">Lein, Öl mit Stroh </t>
  </si>
  <si>
    <t>Quinoa*</t>
  </si>
  <si>
    <t>Quinoa mit Stroh*</t>
  </si>
  <si>
    <t>Raps, Winter</t>
  </si>
  <si>
    <t>Raps, Winter mit Kraut</t>
  </si>
  <si>
    <t>Roggen, Winter</t>
  </si>
  <si>
    <t xml:space="preserve">Roggen, Winter mit Stroh </t>
  </si>
  <si>
    <t>Senf*</t>
  </si>
  <si>
    <t>Senf mit Stroh*</t>
  </si>
  <si>
    <t>Silphium, Ganzpflanze*</t>
  </si>
  <si>
    <t>Sojabohne*</t>
  </si>
  <si>
    <t>Sojabohne mit Stroh*</t>
  </si>
  <si>
    <t>Sonnenblume</t>
  </si>
  <si>
    <t xml:space="preserve">Sonnenblume mit Stroh </t>
  </si>
  <si>
    <t>Sorghum Ganzpflanze*</t>
  </si>
  <si>
    <t>Sudangras (Sorghumhirse)</t>
  </si>
  <si>
    <t>Süßkartoffel*</t>
  </si>
  <si>
    <t>Topinambur *</t>
  </si>
  <si>
    <t>Topinambur mit Kraut*</t>
  </si>
  <si>
    <t>Triticale, Winter</t>
  </si>
  <si>
    <t xml:space="preserve">Triticale, Winter mit Stroh </t>
  </si>
  <si>
    <t>Weizen, Hart (Durum)</t>
  </si>
  <si>
    <t xml:space="preserve">Weizen, Hart (Durum) mit Stroh </t>
  </si>
  <si>
    <t xml:space="preserve">Weizen, Sommer mit Stroh </t>
  </si>
  <si>
    <t>Weizen, Winter A, B</t>
  </si>
  <si>
    <t xml:space="preserve">Weizen, Winter A, B mit Stroh </t>
  </si>
  <si>
    <t>Weizen, Winter C</t>
  </si>
  <si>
    <t xml:space="preserve">Weizen, Winter C mit Stroh </t>
  </si>
  <si>
    <t>Weizen, Winter E</t>
  </si>
  <si>
    <t xml:space="preserve">Weizen, Winter E mit Stroh </t>
  </si>
  <si>
    <t>Wicke*</t>
  </si>
  <si>
    <t>Wicke mit Stroh*</t>
  </si>
  <si>
    <t>Zuckerrübe</t>
  </si>
  <si>
    <t>Zuckerrübe mit Kraut</t>
  </si>
  <si>
    <t>Kultur (*vorläufige Daten)</t>
  </si>
  <si>
    <t>N-Bedarfs-wert 
kg/ha</t>
  </si>
  <si>
    <t>Probe-nahme 
in 
Kultur-woche</t>
  </si>
  <si>
    <t>Probe-nahme-tiefe 
cm</t>
  </si>
  <si>
    <r>
      <t>P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O</t>
    </r>
    <r>
      <rPr>
        <b/>
        <vertAlign val="subscript"/>
        <sz val="11"/>
        <rFont val="Calibri"/>
        <family val="2"/>
        <scheme val="minor"/>
      </rPr>
      <t>5</t>
    </r>
    <r>
      <rPr>
        <b/>
        <sz val="11"/>
        <rFont val="Calibri"/>
        <family val="2"/>
        <scheme val="minor"/>
      </rPr>
      <t>-Nährstoff-gehalt kg/dt</t>
    </r>
  </si>
  <si>
    <r>
      <t>K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O-Nährstoff-gehalt kg/dt</t>
    </r>
  </si>
  <si>
    <t>Artischocken*</t>
  </si>
  <si>
    <t>Blumenkohl</t>
  </si>
  <si>
    <t>Brokkoli</t>
  </si>
  <si>
    <t>Brunnenkresse*</t>
  </si>
  <si>
    <t>Buschbohnen</t>
  </si>
  <si>
    <t>Chicoreerüben</t>
  </si>
  <si>
    <t>Chinakohl</t>
  </si>
  <si>
    <t>Dicke Bohne, Korn*</t>
  </si>
  <si>
    <t>Dill, Frischmarkt</t>
  </si>
  <si>
    <t>Dill, Industrieware</t>
  </si>
  <si>
    <t>Erdbeeren, Frühjahr</t>
  </si>
  <si>
    <t>Erdbeeren, nach Ernte (f. Ernte i. Folgejahr)</t>
  </si>
  <si>
    <t>Erdbeeren, Pflanzung</t>
  </si>
  <si>
    <t>Feldsalat</t>
  </si>
  <si>
    <t>Feldsalat, großblättrig</t>
  </si>
  <si>
    <t>Grünkohl</t>
  </si>
  <si>
    <t>Knollenfenchel</t>
  </si>
  <si>
    <t>Kohlrabi</t>
  </si>
  <si>
    <t>Kohlrübe*</t>
  </si>
  <si>
    <t>Koriander, Kraut*</t>
  </si>
  <si>
    <t>Liebstöckel*</t>
  </si>
  <si>
    <t>Majoran*</t>
  </si>
  <si>
    <t>Meerrettich, Wurzel*</t>
  </si>
  <si>
    <t>Melonen*</t>
  </si>
  <si>
    <t>Möhren, Bund</t>
  </si>
  <si>
    <t>Möhren, Industrie</t>
  </si>
  <si>
    <t>Möhren, Wasch</t>
  </si>
  <si>
    <t>Pak Choi*</t>
  </si>
  <si>
    <t>Pastinake</t>
  </si>
  <si>
    <t>Petersilie, Blatt, 1. Schnitt</t>
  </si>
  <si>
    <t>Petersilie, Blatt, nach einem Schnitt</t>
  </si>
  <si>
    <t>Petersilie, Wurzel</t>
  </si>
  <si>
    <t>Pfefferminze, Minzen*</t>
  </si>
  <si>
    <t>Physalis*</t>
  </si>
  <si>
    <t>Porree</t>
  </si>
  <si>
    <t>Portulak, Sommer bis 1. Schnitt*</t>
  </si>
  <si>
    <t>Portulak, Sommer nach einem Schnitt*</t>
  </si>
  <si>
    <t>Portulak, Winter bis 1. Schnitt*</t>
  </si>
  <si>
    <t>Portulak, Winter nach einem Schnitt*</t>
  </si>
  <si>
    <t>Radies</t>
  </si>
  <si>
    <t>Rettich, Bund</t>
  </si>
  <si>
    <t>Rettich, deutsch</t>
  </si>
  <si>
    <t>Rettich, japanisch</t>
  </si>
  <si>
    <t>Rhabarber, 1. Standjahr</t>
  </si>
  <si>
    <t>Rhabarber, 2. Standjahr nach Ernte</t>
  </si>
  <si>
    <t>Rhabarber, 2. Standjahr, Austrieb</t>
  </si>
  <si>
    <t>Rhabarber, 3. Standjahr nach Ernte</t>
  </si>
  <si>
    <t>Rhabarber, 3. Standjahr, Austrieb</t>
  </si>
  <si>
    <t>Rhabarber, 4. Standjahr nach Ernte</t>
  </si>
  <si>
    <t>Rhabarber, 4. Standjahr, Austrieb</t>
  </si>
  <si>
    <t>Rosenkohl</t>
  </si>
  <si>
    <t>Rosmarin*</t>
  </si>
  <si>
    <t>Rote Rüben</t>
  </si>
  <si>
    <t>Rote Rüben, Baby Beet*</t>
  </si>
  <si>
    <t>Rote Rüben, Bund*</t>
  </si>
  <si>
    <t>Rotkohl</t>
  </si>
  <si>
    <t>Rucola, Feinware</t>
  </si>
  <si>
    <t>Rucola, Grobware</t>
  </si>
  <si>
    <t>Salate, Baby Leaf Lettuce</t>
  </si>
  <si>
    <t>Salate, Blatt-, grün (Lollo, Eichblatt, Krul)</t>
  </si>
  <si>
    <t>Salate, Blatt-, rot (Lollo, Eichblatt, Krul)</t>
  </si>
  <si>
    <t>Salate, Eissalat</t>
  </si>
  <si>
    <t>Salate, Eissalat x Romana, Crunchy Cos*</t>
  </si>
  <si>
    <t>Salate, Endivien Friseé</t>
  </si>
  <si>
    <t>Salate, Endivien glattblättrig</t>
  </si>
  <si>
    <t>Salate, Kopfsalat</t>
  </si>
  <si>
    <t>Salate, Radicchio</t>
  </si>
  <si>
    <t>Salate, Romana</t>
  </si>
  <si>
    <t>Salate, Romana Herzen</t>
  </si>
  <si>
    <t>Salate, verschiedene Arten</t>
  </si>
  <si>
    <t>Salate, Zuckerhut</t>
  </si>
  <si>
    <t>Schabzigerklee*</t>
  </si>
  <si>
    <t>Schnittknoblauch, Kraut*</t>
  </si>
  <si>
    <t>Schnittlauch, Anbau für Treiberei</t>
  </si>
  <si>
    <t>Schnittlauch, gesät, bis 1. Schnitt</t>
  </si>
  <si>
    <t>Schnittlauch, nach einem Schnitt</t>
  </si>
  <si>
    <t>Schwarzwurzel</t>
  </si>
  <si>
    <t>Sellerie, Bund</t>
  </si>
  <si>
    <t>Sellerie, Knollen</t>
  </si>
  <si>
    <t>Sellerie, Schnitt, Kraut</t>
  </si>
  <si>
    <t>Sellerie, Stangen</t>
  </si>
  <si>
    <t>Spargel, 1. Standjahr</t>
  </si>
  <si>
    <t>Spargel, 2. Standjahr mit Ernte</t>
  </si>
  <si>
    <t>Spargel, 2. Standjahr ohne Ernte</t>
  </si>
  <si>
    <t>Spargel, 3. Standjahr</t>
  </si>
  <si>
    <t>Spargel, ab 4. Standjahr</t>
  </si>
  <si>
    <t>Spinat, Blatt-, FM, Baby</t>
  </si>
  <si>
    <t>Spinat, Blatt-, Standard</t>
  </si>
  <si>
    <t>Spinat, Hack-, Standard</t>
  </si>
  <si>
    <t>Stangenbohne, Standard</t>
  </si>
  <si>
    <t>Thymian*</t>
  </si>
  <si>
    <t>Weißkohl, Frischmarkt (rund, spitz, flach)</t>
  </si>
  <si>
    <t>Weißkohl, Industrie (rund, spitz, flach)</t>
  </si>
  <si>
    <t>Wirsing</t>
  </si>
  <si>
    <t>Zitronenmelisse*</t>
  </si>
  <si>
    <t>Zucchini</t>
  </si>
  <si>
    <t>Zuckermais</t>
  </si>
  <si>
    <t>Zwiebel, Bund-</t>
  </si>
  <si>
    <t>Schlüsselblume, Wurzel</t>
  </si>
  <si>
    <t>Ackerschachtelhalm, Kraut*</t>
  </si>
  <si>
    <t>Alant, Wurzel*</t>
  </si>
  <si>
    <t>Akelei, blühendes Kraut*</t>
  </si>
  <si>
    <t>Alant, Wurzel + Kraut*</t>
  </si>
  <si>
    <t>Ampfer, kraus, Kraut nach Blüte*</t>
  </si>
  <si>
    <t>Ampfer, Wiesen, Blatt*</t>
  </si>
  <si>
    <t>Artischocke (Kardone), Kraut*</t>
  </si>
  <si>
    <t>Arzneifenchel, Frucht*</t>
  </si>
  <si>
    <t>Baikal-Helmkraut, Wurzel + Kraut*</t>
  </si>
  <si>
    <t>Baikal-Helmkraut, Wurzel*</t>
  </si>
  <si>
    <t>Baldrian, Wurzel + Kraut*</t>
  </si>
  <si>
    <t>Baldrian, Wurzel*</t>
  </si>
  <si>
    <t>Bärlauch, Blatt*</t>
  </si>
  <si>
    <t>Basilikum, Kraut Blühbeginn*</t>
  </si>
  <si>
    <t>Bergarnika, Blüte</t>
  </si>
  <si>
    <t>Bergarnika, Blüte + Kraut*</t>
  </si>
  <si>
    <t>Bergarnika, Wurzel + Kraut*</t>
  </si>
  <si>
    <t>Bergarnika, Wurzel*</t>
  </si>
  <si>
    <t>Bergbohnenkraut, blühendes Kraut*</t>
  </si>
  <si>
    <t>Bibernelle, Kleine, Wurzel + Kraut*</t>
  </si>
  <si>
    <t>Bibernelle, Kleine, Wurzel*</t>
  </si>
  <si>
    <t>Bockshornklee, Samen + Kraut*</t>
  </si>
  <si>
    <t>Bockshornklee, Samen*</t>
  </si>
  <si>
    <t>Bohnenkraut, einjährig, blühendes Kraut*</t>
  </si>
  <si>
    <t>Borretsch, Blühendes Kraut*</t>
  </si>
  <si>
    <t>Braunelle, Kraut zu Ende der Blüte*</t>
  </si>
  <si>
    <t>Brennnessel, Große, nicht blühendes Kraut*</t>
  </si>
  <si>
    <t>Brennnessel, Große, Wurzel + Kraut*</t>
  </si>
  <si>
    <t>Brennnessel, Große, Wurzel*</t>
  </si>
  <si>
    <t>Brennnessel, Kleine, blühendes Kraut*</t>
  </si>
  <si>
    <t>Brunnenkresse, Kraut*</t>
  </si>
  <si>
    <t>Dill, Kraut b. Knospenansatz*</t>
  </si>
  <si>
    <t>Eibisch, Wurzel + Kraut*</t>
  </si>
  <si>
    <t>Eibisch, Wurzel*</t>
  </si>
  <si>
    <t>Eisenkraut, Echtes, Kraut*</t>
  </si>
  <si>
    <t>Engelwurz, Europäische, Wurzel + Kraut*</t>
  </si>
  <si>
    <t>Engelwurz, Europäische, Wurzel*</t>
  </si>
  <si>
    <t>Estragon, Deutscher, nicht blühendes Kraut*</t>
  </si>
  <si>
    <t>Färberdistel, Samen*</t>
  </si>
  <si>
    <t>Federmohn, Kraut, 1. Standjahr*</t>
  </si>
  <si>
    <t>Federmohn, Kraut, ab 2. Standjahr*</t>
  </si>
  <si>
    <t>Frauenmantel, blühendes Kraut*</t>
  </si>
  <si>
    <t>Galega (Geißraute), Kraut*</t>
  </si>
  <si>
    <t>Gartenkresse, Kraut*</t>
  </si>
  <si>
    <t>Goldrute, Blühhorizont*</t>
  </si>
  <si>
    <t>Johanniskraut, Blühendes Kraut*</t>
  </si>
  <si>
    <t>Kapuzinerkresse, blühendes Kraut*</t>
  </si>
  <si>
    <t>Kerbel, Kraut*</t>
  </si>
  <si>
    <t>Knoblauch, Zwiebel ganz + Kraut*</t>
  </si>
  <si>
    <t>Knoblauch, Zwiebel ganz*</t>
  </si>
  <si>
    <t>Koriander, Samen*</t>
  </si>
  <si>
    <t>Kornblume, Blühendes Kraut*</t>
  </si>
  <si>
    <t>Kornblume, Blüte + Kraut*</t>
  </si>
  <si>
    <t>Kornblume, Blüte*</t>
  </si>
  <si>
    <t>Lavendel, Blütenähre*</t>
  </si>
  <si>
    <t>Liebstöckel, nicht blühendes Kraut*</t>
  </si>
  <si>
    <t>Liebstöckel, Wurzel + Kraut*</t>
  </si>
  <si>
    <t>Liebstöckel, Wurzel*</t>
  </si>
  <si>
    <t>Löwenzahn, kaukasisch, Wurzel*</t>
  </si>
  <si>
    <t>Löwenzahn, Kraut*</t>
  </si>
  <si>
    <t>Mädesüß, blühendes Kraut*</t>
  </si>
  <si>
    <t>Majoran, Kraut Blühbeginn*</t>
  </si>
  <si>
    <t>Mariendistel, Samen + Kraut*</t>
  </si>
  <si>
    <t>Mariendistel, Samen*</t>
  </si>
  <si>
    <t>Meerrettich, Wurzel + Kraut*</t>
  </si>
  <si>
    <t>Melde, Kraut*</t>
  </si>
  <si>
    <t>Mohn, Samen und Kapseln + Stroh*</t>
  </si>
  <si>
    <t>Mohn, Samen und Kapseln*</t>
  </si>
  <si>
    <t>Muskatteller Salbei, blühendes Kraut*</t>
  </si>
  <si>
    <t>Mutterkraut (T. parthenium), blühendes Kraut*</t>
  </si>
  <si>
    <t>Mutterkraut, Chin. (L. jap.), blühendes Kraut*</t>
  </si>
  <si>
    <t>Nachtkerze, Samen + Stroh*</t>
  </si>
  <si>
    <t>Nachtkerze, Samen*</t>
  </si>
  <si>
    <t>Oregano (Dost), blühendes Kraut*</t>
  </si>
  <si>
    <t>Petersilie, Blatt-, bis 1. Schnitt*</t>
  </si>
  <si>
    <t>Petersilie, Blatt-, nach einem Schnitt*</t>
  </si>
  <si>
    <t>Pfefferminze, Minzen, nicht blühendes Kraut*</t>
  </si>
  <si>
    <t>Ringelblume, blühendes Kraut*</t>
  </si>
  <si>
    <t>Ringelblume, Blüte + Kraut*</t>
  </si>
  <si>
    <t>Ringelblume, Blüte*</t>
  </si>
  <si>
    <t>Rosmarin, nicht blühendes Kraut*</t>
  </si>
  <si>
    <t>Saposhnikovia, Wurzel + Kraut*</t>
  </si>
  <si>
    <t>Saposhnikovia, Wurzel*</t>
  </si>
  <si>
    <t>Saussurea costus, Wurzel*</t>
  </si>
  <si>
    <t>Schafgarbe, Blühhorizont*</t>
  </si>
  <si>
    <t>Schlüsselblume, Wurzel + Kraut*</t>
  </si>
  <si>
    <t>Schöllkraut, blühendes Kraut*</t>
  </si>
  <si>
    <t>Schwarzkümmel, Samen*</t>
  </si>
  <si>
    <t>Senf, Brauner, Samen + Stroh*</t>
  </si>
  <si>
    <t>Senf, Brauner, Samen*</t>
  </si>
  <si>
    <t>Senf, Gelber/Weißer, Samen + Kraut*</t>
  </si>
  <si>
    <t>Senf, Gelber/Weißer, Samen*</t>
  </si>
  <si>
    <t>Siegesbeckia, blühendes Kraut*</t>
  </si>
  <si>
    <t>Sonnenhut (E. pallida), Wurzel, jährl. Zuwachs + Kraut*</t>
  </si>
  <si>
    <t>Sonnenhut (E. pallida), Wurzel, jährl. Zuwachs*</t>
  </si>
  <si>
    <t>Spitzwegerich, Kraut*</t>
  </si>
  <si>
    <t>Steinklee, Gelber, blühendes Kraut*</t>
  </si>
  <si>
    <t>Thymian, blühendes Kraut*</t>
  </si>
  <si>
    <t>Tollkirsche, Kraut*</t>
  </si>
  <si>
    <t>Tragant, Chinesischer, Wurzel + Kraut*</t>
  </si>
  <si>
    <t>Tragant, Chinesischer, Wurzel*</t>
  </si>
  <si>
    <t>Wermut, Beifuß, nicht blühendes Kraut*</t>
  </si>
  <si>
    <t>Ysop, blühendes Kraut*</t>
  </si>
  <si>
    <t>Saussurea costus, Wurzel + Kraut*</t>
  </si>
  <si>
    <t>Wiesenknopf, klein (Pimpinelle), Kraut*</t>
  </si>
  <si>
    <t>Zitronenmelisse, nicht blühendes Kraut*</t>
  </si>
  <si>
    <t>Zitronenverbene, Kraut*</t>
  </si>
  <si>
    <t>Gurke, Einleger, Land</t>
  </si>
  <si>
    <t>Koriander, Blatt*</t>
  </si>
  <si>
    <t>Melde*</t>
  </si>
  <si>
    <t>Oregano (Dost)*</t>
  </si>
  <si>
    <t>Salbei*</t>
  </si>
  <si>
    <t>Schnittknoblauch*</t>
  </si>
  <si>
    <t>Sellerie, Schnitt*</t>
  </si>
  <si>
    <t>Wiesenknopf, klein (Pimpinelle)*</t>
  </si>
  <si>
    <r>
      <rPr>
        <b/>
        <sz val="12"/>
        <rFont val="Calibri"/>
        <family val="2"/>
        <scheme val="minor"/>
      </rPr>
      <t>Ertragsniveau</t>
    </r>
    <r>
      <rPr>
        <sz val="12"/>
        <rFont val="Calibri"/>
        <family val="2"/>
        <scheme val="minor"/>
      </rPr>
      <t xml:space="preserve"> Betrieb dt/ha </t>
    </r>
    <r>
      <rPr>
        <sz val="9"/>
        <rFont val="Calibri"/>
        <family val="2"/>
        <scheme val="minor"/>
      </rPr>
      <t>(TM Hauptprodukt)</t>
    </r>
  </si>
  <si>
    <t>Frischmasse FM Haupt-produkt
(incl. Abfall) 
dt/ha</t>
  </si>
  <si>
    <r>
      <rPr>
        <b/>
        <sz val="12"/>
        <rFont val="Calibri"/>
        <family val="2"/>
        <scheme val="minor"/>
      </rPr>
      <t>Ertragsniveau</t>
    </r>
    <r>
      <rPr>
        <sz val="12"/>
        <rFont val="Calibri"/>
        <family val="2"/>
        <scheme val="minor"/>
      </rPr>
      <t xml:space="preserve"> Betrieb dt/ha </t>
    </r>
    <r>
      <rPr>
        <sz val="10"/>
        <rFont val="Calibri"/>
        <family val="2"/>
        <scheme val="minor"/>
      </rPr>
      <t>(Hauptprodukt)</t>
    </r>
  </si>
  <si>
    <t>Jauche</t>
  </si>
  <si>
    <t>Dünger aus Horn, Haar, Federn</t>
  </si>
  <si>
    <t>Dünger aus Fleisch und Knochen</t>
  </si>
  <si>
    <t>Feststoff-Separat aus Schweinegülle</t>
  </si>
  <si>
    <t>Rindergülle, Gärreste flüssig</t>
  </si>
  <si>
    <t>Klärschlamm flüssig</t>
  </si>
  <si>
    <t>Klärschlamm fest</t>
  </si>
  <si>
    <t>Leguminosentransfermulch</t>
  </si>
  <si>
    <t>Leguminosen- u.a. Körnerschrote</t>
  </si>
  <si>
    <t>Schlempe</t>
  </si>
  <si>
    <t>Geflügel-, Kaninchen-Festmist</t>
  </si>
  <si>
    <t>Schweine-Festmist, Gärreste fest</t>
  </si>
  <si>
    <t>Rinder-Festmist</t>
  </si>
  <si>
    <t>Pferde-, Schaf-, Ziegen-Festmist</t>
  </si>
  <si>
    <t>Trester, Trauben</t>
  </si>
  <si>
    <t>Mindest-wirksamkeit 
Ausbringjahr
 % N_gesamt</t>
  </si>
  <si>
    <t>Bioabfallkompost</t>
  </si>
  <si>
    <t>Champost</t>
  </si>
  <si>
    <t>Organische Dünger</t>
  </si>
  <si>
    <r>
      <t>P</t>
    </r>
    <r>
      <rPr>
        <b/>
        <vertAlign val="subscript"/>
        <sz val="18"/>
        <rFont val="Calibri"/>
        <family val="2"/>
        <scheme val="minor"/>
      </rPr>
      <t>2</t>
    </r>
    <r>
      <rPr>
        <b/>
        <sz val="18"/>
        <rFont val="Calibri"/>
        <family val="2"/>
        <scheme val="minor"/>
      </rPr>
      <t>O</t>
    </r>
    <r>
      <rPr>
        <b/>
        <vertAlign val="subscript"/>
        <sz val="18"/>
        <rFont val="Calibri"/>
        <family val="2"/>
        <scheme val="minor"/>
      </rPr>
      <t>5</t>
    </r>
    <r>
      <rPr>
        <b/>
        <sz val="18"/>
        <rFont val="Calibri"/>
        <family val="2"/>
        <scheme val="minor"/>
      </rPr>
      <t xml:space="preserve">-Düngeobergrenze </t>
    </r>
    <r>
      <rPr>
        <sz val="18"/>
        <rFont val="Calibri"/>
        <family val="2"/>
        <scheme val="minor"/>
      </rPr>
      <t>ermittelt</t>
    </r>
  </si>
  <si>
    <t>_Andere 1</t>
  </si>
  <si>
    <t>_Andere 2</t>
  </si>
  <si>
    <t>_Andere 3</t>
  </si>
  <si>
    <t>_Andere 4</t>
  </si>
  <si>
    <t>_Andere 5</t>
  </si>
  <si>
    <t>_Andere 6</t>
  </si>
  <si>
    <t>_Andere 7</t>
  </si>
  <si>
    <t>_Andere 8</t>
  </si>
  <si>
    <t>_Andere 9</t>
  </si>
  <si>
    <t>_Andere 10</t>
  </si>
  <si>
    <t>Ackerstiefmütterchen, blühendes Kraut*</t>
  </si>
  <si>
    <t>Andorn, Kraut Knospenstadium*</t>
  </si>
  <si>
    <t>Anis, Frucht + Stroh*</t>
  </si>
  <si>
    <t>Anis, Frucht*</t>
  </si>
  <si>
    <t>Arzneifenchel, Frucht + Stroh*</t>
  </si>
  <si>
    <t>Arzneirhabarber, jährl. Zuwachs, Wurzel n. 4 Jahren + Kraut *</t>
  </si>
  <si>
    <t>Arzneirhabarber, jährl. Zuwachs, Wurzel n. 4 Jahren*</t>
  </si>
  <si>
    <t>Ballonrebe, Kraut*</t>
  </si>
  <si>
    <t>Bärwurz, jährl. Zuwachs, Wurzel n. 4 Jahren + Kraut*</t>
  </si>
  <si>
    <t>Bärwurz, jährl. Zuwachs, Wurzel n. 4 Jahren*</t>
  </si>
  <si>
    <t>Beinwell, Wurzel + Kraut*</t>
  </si>
  <si>
    <t>Beinwell, Wurzel*</t>
  </si>
  <si>
    <t>Bertram, Römischer, Wurzel + Kraut*</t>
  </si>
  <si>
    <t>Bertram, Römischer, Wurzel*</t>
  </si>
  <si>
    <t>Besenbeifuß (A. scoparia), Kraut*</t>
  </si>
  <si>
    <t>Dill, Spitzen*</t>
  </si>
  <si>
    <t>Efeu, Kraut*</t>
  </si>
  <si>
    <t>Enzian, ohne Ernte*</t>
  </si>
  <si>
    <t>Enzian, Wurzel n. 4 Jahren*</t>
  </si>
  <si>
    <t>Färberdistel, Samen + Stroh*</t>
  </si>
  <si>
    <t>Färberwaid, Kraut*</t>
  </si>
  <si>
    <t>Getreidegras, Gras*</t>
  </si>
  <si>
    <t>Ginseng, Wurzel*</t>
  </si>
  <si>
    <t>Hafer, Grüner, Kraut</t>
  </si>
  <si>
    <t>Ingwer, Rhizom*</t>
  </si>
  <si>
    <t>Kamille, Blühhorizont + Kraut*</t>
  </si>
  <si>
    <t>Kamille, Blühhorizont*</t>
  </si>
  <si>
    <t>Kamille, Blüten + Kraut*</t>
  </si>
  <si>
    <t>Karde, Wilde, Wurzel*</t>
  </si>
  <si>
    <t>Koriander, Samen + Stroh*</t>
  </si>
  <si>
    <t>Kuhschelle, Wiesen, Ganzpflanze</t>
  </si>
  <si>
    <t>Kuhschelle, Wiesen, Kraut</t>
  </si>
  <si>
    <t>Kümmel, einjährig, Frucht + Stroh*</t>
  </si>
  <si>
    <t>Kümmel, einjährig, Frucht*</t>
  </si>
  <si>
    <t>Kümmel, zweijährig, ohne Ernte</t>
  </si>
  <si>
    <t>Malve, blaue, blühendes Kraut*</t>
  </si>
  <si>
    <t>Malve, blaue, Blüte + Kraut*</t>
  </si>
  <si>
    <t>Malve, blaue, Blüte*</t>
  </si>
  <si>
    <t>Mariendistel, Kraut*</t>
  </si>
  <si>
    <t>Meisterwurz, Wurzel + Kraut*</t>
  </si>
  <si>
    <t>Meisterwurz, Wurzel*</t>
  </si>
  <si>
    <t>Nelkenwurz, Wurzel + Kraut*</t>
  </si>
  <si>
    <t>Nelkenwurz, Wurzel*</t>
  </si>
  <si>
    <t>Odermennig, Kraut*</t>
  </si>
  <si>
    <t>Pestwurz, Blatt*</t>
  </si>
  <si>
    <t>Pestwurz, Wurzel + Blatt*</t>
  </si>
  <si>
    <t>Pestwurz, Wurzel*</t>
  </si>
  <si>
    <t>Petersilie, Blatt-, Verarbeitung, alle Schnitte*</t>
  </si>
  <si>
    <t>Rosenwurz, jährl. Zuwachs, Wurzel Ernte n. 3 Jahren</t>
  </si>
  <si>
    <t>Rotwurzelsalbei (S. miltior.), Wurzel + Kraut*</t>
  </si>
  <si>
    <t>Rotwurzelsalbei (S. miltior.), Wurzel*</t>
  </si>
  <si>
    <t>Salbei (S. officinalis), nicht blühendes Kraut*</t>
  </si>
  <si>
    <t>Schabziegerklee, blühendes Kraut*</t>
  </si>
  <si>
    <t>Schleifenblume, bittere, Kraut*</t>
  </si>
  <si>
    <t>Schlüsselblume, Blüte + Kraut*</t>
  </si>
  <si>
    <t>Schlüsselblume, Blüte*</t>
  </si>
  <si>
    <t>Schnittlauch, bis 1. Schnitt*</t>
  </si>
  <si>
    <t>Schnittlauch, nach 1. Schnitt*</t>
  </si>
  <si>
    <t>Schnittlauch, Verarbeitung, alle Schnitte*</t>
  </si>
  <si>
    <t>Schwarzkümmel, Samen + Stroh*</t>
  </si>
  <si>
    <t>Schwertlilie, jährl. Zuwachs, Rhizom Ernte n. 3 Jahren + Kraut*</t>
  </si>
  <si>
    <t>Schwertlilie, jährl. Zuwachs, Rhizom Ernte n. 3 Jahren*</t>
  </si>
  <si>
    <t>Senf, Schwarzer, Samen + Kraut*</t>
  </si>
  <si>
    <t>Senf, Schwarzer, Samen*</t>
  </si>
  <si>
    <t>Sonnenhut (E. angustifolia), blühendes Kraut*</t>
  </si>
  <si>
    <t>Sonnenhut (E. angustifolia), Wurzel + Kraut*</t>
  </si>
  <si>
    <t>Sonnenhut (E. angustifolia), Wurzel*</t>
  </si>
  <si>
    <t>Sonnenhut (E. angustifolia), Wurzel, jährl. Zuwachs + Kraut*</t>
  </si>
  <si>
    <t>Sonnenhut (E. angustifolia), Wurzel, jährl. Zuwachs*</t>
  </si>
  <si>
    <t>Sonnenhut (E. pallida), blühendes Kraut*</t>
  </si>
  <si>
    <t>Sonnenhut (E. pallida), Wurzel + Kraut*</t>
  </si>
  <si>
    <t>Sonnenhut (E. pallida), Wurzel*</t>
  </si>
  <si>
    <t>Sonnenhut (E. purpurea), blühendes Kraut*</t>
  </si>
  <si>
    <t>Sonnenhut (E. purpurea), Wurzel + Kraut*</t>
  </si>
  <si>
    <t>Sonnenhut (E. purpurea), Wurzel*</t>
  </si>
  <si>
    <t>Sonnenhut (E. purpurea), Wurzel, jährl. Zuwachs + Kraut*</t>
  </si>
  <si>
    <t>Sonnenhut (E. purpurea), Wurzel, jährl. Zuwachs*</t>
  </si>
  <si>
    <t>Steinklee, Weißer, blühendes Kraut*</t>
  </si>
  <si>
    <t>Tausendgüldenkraut, blühendes Kraut*</t>
  </si>
  <si>
    <t>Winterheckenzwiebel</t>
  </si>
  <si>
    <t>Pak Choi, mini*</t>
  </si>
  <si>
    <t>Paprika*</t>
  </si>
  <si>
    <t>Spinat, Winter, früh*</t>
  </si>
  <si>
    <t>Spinat, Winter, spät/mittel*</t>
  </si>
  <si>
    <t>Zwiebel, Schalotte*</t>
  </si>
  <si>
    <t>Ernterückstände Gemüse</t>
  </si>
  <si>
    <t>Putzabfälle Gemüse</t>
  </si>
  <si>
    <t>Andere organische Dünger</t>
  </si>
  <si>
    <t>Ackerbohnen, Mehl 87% TS</t>
  </si>
  <si>
    <t>Ackerbohnen, Pellets 87% TS</t>
  </si>
  <si>
    <t>Ackerbohnen, Schrot 87% TS</t>
  </si>
  <si>
    <t>Ackerbohnenschrot 86% TS [SN] Öko. Landbau</t>
  </si>
  <si>
    <t>AMN® Verde, Bio-Pflanzennahrung u. Vitalisierung</t>
  </si>
  <si>
    <t>Biertreber 25% TS [BW]</t>
  </si>
  <si>
    <t>Biertreber 90% TS</t>
  </si>
  <si>
    <t>Biodünger Bio Energy GmbH</t>
  </si>
  <si>
    <t>Biogasgülle 5% TS</t>
  </si>
  <si>
    <t>Biogasgülle 5% TS [SH]</t>
  </si>
  <si>
    <t>Biogasgülle 7% TS [SH]</t>
  </si>
  <si>
    <t>Biogasgülle Hauptbestandteil Pflanzen 7% TS</t>
  </si>
  <si>
    <t>Biogasgülle, aus Kleegras 9% TS</t>
  </si>
  <si>
    <t>Biogasgülle, aus Rindergülle 7% TS</t>
  </si>
  <si>
    <t>Biogasgülle, aus Schweinegülle 5.2% TS</t>
  </si>
  <si>
    <t>Biogasgülle, aus Schweinegülle u. Hühnertrockenkot 4.2% TS</t>
  </si>
  <si>
    <t>Biosol ehemals Agrobiosol 94% TS</t>
  </si>
  <si>
    <t>Blocks ICAS</t>
  </si>
  <si>
    <t>Blutmehl 94.2% TS</t>
  </si>
  <si>
    <t>Boundary SW ICAS</t>
  </si>
  <si>
    <t>Entenmist 30% TS [NW]</t>
  </si>
  <si>
    <t>Entenmist, Pekingente 30% TS [BY]</t>
  </si>
  <si>
    <t>Erbsenmehl Korn 86.5% TS</t>
  </si>
  <si>
    <t>Erbsenschrot 86% TS [SN] Öko. Landbau</t>
  </si>
  <si>
    <t>Erbsenschrot 86.5% TS</t>
  </si>
  <si>
    <t>Ernterückstände, Gemüse 15% TS [SN]</t>
  </si>
  <si>
    <t>Ernterückstände, Gemüse 15% TS [SN] Öko. Landbau</t>
  </si>
  <si>
    <t>Ernterückstände, Mais 95% TS [SN] Öko. Landbau</t>
  </si>
  <si>
    <t>Ernterückstände, Zwischenfrucht/Frucht 15% TS [SN]</t>
  </si>
  <si>
    <t>Ernterückstände, Zwischenfrucht/Frucht 15% TS [SN] Öko. Landbau</t>
  </si>
  <si>
    <t>Federmehl 88.6% TS</t>
  </si>
  <si>
    <t>Federmehl, Pellets 88.6% TS</t>
  </si>
  <si>
    <t>Filterhefe stichfest 35% TS [BY]</t>
  </si>
  <si>
    <t>Fischmehl 91.7% TS</t>
  </si>
  <si>
    <t>Fischmehl, Pellets 91.7% TS</t>
  </si>
  <si>
    <t>Fleischknochenmehl 95% TS [BW]</t>
  </si>
  <si>
    <t>Fleischknochenmehl 95% TS [BY]</t>
  </si>
  <si>
    <t>Fleischknochenmehl 95% TS [SN]</t>
  </si>
  <si>
    <t>Fleischknochenmehl 95% TS [SN] Öko. Landbau</t>
  </si>
  <si>
    <t>Fleischknochenmehl 96.2% TS</t>
  </si>
  <si>
    <t>Flugentenmist 30% TS [BY]</t>
  </si>
  <si>
    <t>Gänsemist 30% TS [NW]</t>
  </si>
  <si>
    <t>Gärreste aus Biogasanlagen 6% TS [BW]</t>
  </si>
  <si>
    <t>Gärtner's Bio Kräuter- u. Tomatendünger</t>
  </si>
  <si>
    <t>Gärtner's Rododendron- u. Moorbeetpflanzendünger</t>
  </si>
  <si>
    <t>Geflügelmist 45% TS [SN]</t>
  </si>
  <si>
    <t>Geflügelmist 45% TS [SN] Öko. Landbau</t>
  </si>
  <si>
    <t>Geflügelmist 60% TS</t>
  </si>
  <si>
    <t>Geflügelmist, frisch 60% TS</t>
  </si>
  <si>
    <t>Gemüse- u. Kräuter-Dünger für den Biogarten flüssig</t>
  </si>
  <si>
    <t>Gerstenstroh 90% TS [BY]</t>
  </si>
  <si>
    <t>Getrocknetes Pflanzenmaterial/Cobs 95% TS</t>
  </si>
  <si>
    <t>Grünguthäcksel 50% TS [BY]</t>
  </si>
  <si>
    <t>Guano 95% TS</t>
  </si>
  <si>
    <t>Haar- u. Federnmehl 98% TS [SN] Öko. Landbau</t>
  </si>
  <si>
    <t>Haarmehl, Pellets 94% TS</t>
  </si>
  <si>
    <t>Haarmehl, Pellets 95% TS [SN] Öko. Landbau</t>
  </si>
  <si>
    <t>Haferstroh 90% TS [BY]</t>
  </si>
  <si>
    <t>Hähnchen-/Broilermist 60% TS</t>
  </si>
  <si>
    <t>Hähnchenmist, Mast 60% TS [BY]</t>
  </si>
  <si>
    <t>Horndünger 90% TS</t>
  </si>
  <si>
    <t>Hornmehl 90% TS</t>
  </si>
  <si>
    <t>Hornmehl, -gries, -späne 98% TS [SN] Öko. Landbau</t>
  </si>
  <si>
    <t>Hornmehlpellets 90% TS</t>
  </si>
  <si>
    <t>Hornspäne 90% TS</t>
  </si>
  <si>
    <t>Hornspäne 90% TS [BY]</t>
  </si>
  <si>
    <t>Hühnerfrischkot 28% TS</t>
  </si>
  <si>
    <t>Hühnergülle 11% TS [NW]</t>
  </si>
  <si>
    <t>Hühnergülle 14% TS [SH]</t>
  </si>
  <si>
    <t>Hühnerkot 50% TS [BY]</t>
  </si>
  <si>
    <t>Hühnerkot, frisch 12% TS [SN]</t>
  </si>
  <si>
    <t>Hühnerkot, frisch 12% TS [SN] Öko. Landbau</t>
  </si>
  <si>
    <t>Hühnerkot, frisch 23% TS [SH]</t>
  </si>
  <si>
    <t>Hühnerkot, frisch 28% TS [NW]</t>
  </si>
  <si>
    <t>Hühnerkot, frisch 28% TS [SN]</t>
  </si>
  <si>
    <t>Hühnerkot, getrocknet 50% TS</t>
  </si>
  <si>
    <t>Hühnerkot, getrocknet 70% TS</t>
  </si>
  <si>
    <t>Hühnermist 45% TS [SH]</t>
  </si>
  <si>
    <t>Hühnermist 50% TS [BY]</t>
  </si>
  <si>
    <t>Hühnermist, Einstreu 50% TS [BW]</t>
  </si>
  <si>
    <t>Hühnertrockenkot 45% TS [SH]</t>
  </si>
  <si>
    <t>Hühnertrockenkot 45% TS [SN]</t>
  </si>
  <si>
    <t>Hühnertrockenkot 45% TS [SN] Öko. Landbau</t>
  </si>
  <si>
    <t>Hühnertrockenkot 50% TS [BW]</t>
  </si>
  <si>
    <t>Hühnertrockenkot 50% TS [NW]</t>
  </si>
  <si>
    <t>Hühnertrockenkot 70% TS [NW]</t>
  </si>
  <si>
    <t>Hühnertrockenkot 70% TS [SN]</t>
  </si>
  <si>
    <t>Hühner-u. Hähnchenmist 30% TS [NW]</t>
  </si>
  <si>
    <t>Hühner-u. Hähnchenmist 60% TS [NW]</t>
  </si>
  <si>
    <t>Hydrolysat pflanzlicher Herkunft 46% TS</t>
  </si>
  <si>
    <t>Hydrolysat tierischer Herkunft 46% TS</t>
  </si>
  <si>
    <t>Hydrolysat, Federn 45% TS</t>
  </si>
  <si>
    <t>Hydrolysat, Molke 46% TS</t>
  </si>
  <si>
    <t>Hydrolysat, pflanzliche Reststoffe 46% TS</t>
  </si>
  <si>
    <t>Kaffeemehl 95% TS</t>
  </si>
  <si>
    <t>Kaninchenmist 30% TS [NW]</t>
  </si>
  <si>
    <t>Kartoffelfruchtwasser 4% TS [BW]</t>
  </si>
  <si>
    <t>Kartoffelfruchtwasser 4% TS [SN] Öko. Landbau</t>
  </si>
  <si>
    <t>Kartoffelfruchtwasser, Konzentrat 48% TS [BY]</t>
  </si>
  <si>
    <t>Kartoffelfruchtwasserkonzentrat PPL 48% TS</t>
  </si>
  <si>
    <t>Kartoffelschlempe 5% TS [NW]</t>
  </si>
  <si>
    <t>Keratindünger 90% TS</t>
  </si>
  <si>
    <t>Kleegrascobs 95% TS</t>
  </si>
  <si>
    <t>Kleegrasmehl 95% TS</t>
  </si>
  <si>
    <t>Knochenmehl 95% TS [SN]</t>
  </si>
  <si>
    <t>Knochenmehl 95% TS [SN] Öko. Landbau</t>
  </si>
  <si>
    <t>Knochenmehl 95.2% TS</t>
  </si>
  <si>
    <t>Landschaftspflegematerial 40% TS [BY]</t>
  </si>
  <si>
    <t>Leguminosencobs 95% TS</t>
  </si>
  <si>
    <t>Leindotter 88% TS</t>
  </si>
  <si>
    <t>Lupinen, Mehl 90% TS</t>
  </si>
  <si>
    <t>Lupinen, Pellets 90% TS</t>
  </si>
  <si>
    <t>Lupinen, Schrot 90% TS</t>
  </si>
  <si>
    <t>Lupinenschrot 86% TS [SN] Öko. Landbau</t>
  </si>
  <si>
    <t>Luzernecobs 95% TS</t>
  </si>
  <si>
    <t>Luzernemehl 95% TS</t>
  </si>
  <si>
    <t>Maltaflor Bio 93% TS</t>
  </si>
  <si>
    <t>Maltaflor universal 93% TS</t>
  </si>
  <si>
    <t>Malzkeime 90% TS [SN] Öko. Landbau</t>
  </si>
  <si>
    <t>Mischgülle 4% TS [NW]</t>
  </si>
  <si>
    <t>Mischgülle 7% TS [NW]</t>
  </si>
  <si>
    <t>Mischgülle, Rinder-/Schweine 8% TS [SN]</t>
  </si>
  <si>
    <t>Mischgülle, Rinder-/Schweine 8% TS [SN] Öko. Landbau</t>
  </si>
  <si>
    <t>Mischjauche 3% TS [NW]</t>
  </si>
  <si>
    <t>Mischjauche, Rinder/Schweinejauche 2% TS [SN]</t>
  </si>
  <si>
    <t>Mischjauche, Rinder/Schweinejauche 2% TS [SN] Öko. Landbau</t>
  </si>
  <si>
    <t>Mischmist, Rinder/Schweinejauche 25% TS [SN]</t>
  </si>
  <si>
    <t>Mischmist, Rinder/Schweinejauche 25% TS [SN] Öko. Landbau</t>
  </si>
  <si>
    <t>Naturdünger aus Pferdemist Enegro</t>
  </si>
  <si>
    <t>Olivenextraktionsschrot 88% TS</t>
  </si>
  <si>
    <t>Organic Plant Feed OPF</t>
  </si>
  <si>
    <t>Organic Plant Feed OPF 4-2-8</t>
  </si>
  <si>
    <t>Organic Plant Feed OPF 7-2-3</t>
  </si>
  <si>
    <t>Organic Plant Feed OPF 8-3-3</t>
  </si>
  <si>
    <t>Organic Plant Feed OPF 9-2-2</t>
  </si>
  <si>
    <t>Organic Plant Feed OPF pro 3-2-8</t>
  </si>
  <si>
    <t>Organische Kartoffelnährlösung Agrar Consult</t>
  </si>
  <si>
    <t>Organischer N-P-K Dünger LENATEC</t>
  </si>
  <si>
    <t>Pferdemist 25% TS [BW]</t>
  </si>
  <si>
    <t>Pferdemist 25% TS [SH]</t>
  </si>
  <si>
    <t>Pferdemist 25% TS [SN]</t>
  </si>
  <si>
    <t>Pferdemist 25% TS [SN] Öko. Landbau</t>
  </si>
  <si>
    <t>Pferdemist 30% TS [BY]</t>
  </si>
  <si>
    <t>Pferdemist 32% TS [NW]</t>
  </si>
  <si>
    <t>Pflanzensegen NaturRat</t>
  </si>
  <si>
    <t>Phytoperls 95% TS</t>
  </si>
  <si>
    <t>Pilzbiomasse 99% TS [SN] Öko. Landbau</t>
  </si>
  <si>
    <t>Pilzmyzel 90% TS</t>
  </si>
  <si>
    <t>Putenmist 45% TS [SH]</t>
  </si>
  <si>
    <t>Putenmist 50% TS [NW]</t>
  </si>
  <si>
    <t>Putenmist 60% TS</t>
  </si>
  <si>
    <t>Putenmist 60% TS [BY]</t>
  </si>
  <si>
    <t>Putenmist, Hähne Einstreu 55% TS [BW]</t>
  </si>
  <si>
    <t>Putenmist, Hähne N/P-reduziert Einstreu 55% TS [BW]</t>
  </si>
  <si>
    <t>Putenmist, Hennen Einstreu 55% TS [BW]</t>
  </si>
  <si>
    <t>Putenmist, Hennen N/P-reduziert Einstreu 55% TS [BW]</t>
  </si>
  <si>
    <t>Rapsextraktionsschrot 88.4% TS</t>
  </si>
  <si>
    <t>Rapskuchen 50% TS</t>
  </si>
  <si>
    <t>Rapsschrot 90% TS [SN] Öko. Landbau</t>
  </si>
  <si>
    <t>Rebenhäcksel Hopfen 27% TS [BY]</t>
  </si>
  <si>
    <t>Rhizinusschrot 70% TS [BW]</t>
  </si>
  <si>
    <t>Rhizinusschrot 70% TS [BY]</t>
  </si>
  <si>
    <t>Rindergülle 12% TS [SN]</t>
  </si>
  <si>
    <t>Rindergülle 12% TS [SN] Öko. Landbau</t>
  </si>
  <si>
    <t>Rindergülle 4% TS [SN]</t>
  </si>
  <si>
    <t>Rindergülle 4% TS [SN] Öko. Landbau</t>
  </si>
  <si>
    <t>Rindergülle 6% TS</t>
  </si>
  <si>
    <t>Rindergülle 8% TS</t>
  </si>
  <si>
    <t>Rindergülle 8% TS [SN]</t>
  </si>
  <si>
    <t>Rindergülle 8% TS [SN] Öko. Landbau</t>
  </si>
  <si>
    <t>Rindergülle, Bullen 10% TS</t>
  </si>
  <si>
    <t>Rindergülle, Bullenmast 10% TS [BW]</t>
  </si>
  <si>
    <t>Rindergülle, Bullenmast 10% TS [NW]</t>
  </si>
  <si>
    <t>Rindergülle, Bullenmast 7% TS [NW]</t>
  </si>
  <si>
    <t>Rindergülle, Bullenmast 8% TS [BW]</t>
  </si>
  <si>
    <t>Rindergülle, Bullenmast 8% TS [BY]</t>
  </si>
  <si>
    <t>Rindergülle, dick 9% TS [SH]</t>
  </si>
  <si>
    <t>Rindergülle, dünn 5% TS [SH]</t>
  </si>
  <si>
    <t>Rindergülle, Jungvieh Acker 10% TS [BW]</t>
  </si>
  <si>
    <t>Rindergülle, Jungvieh Acker 8% TS [BW]</t>
  </si>
  <si>
    <t>Rindergülle, Jungvieh Grünland 10% TS [BW]</t>
  </si>
  <si>
    <t>Rindergülle, Jungvieh Grünland 8% TS [BW]</t>
  </si>
  <si>
    <t>Rindergülle, Kälber 4% TS [NW]</t>
  </si>
  <si>
    <t>Rindergülle, Milchvieh Acker 10% TS [BW]</t>
  </si>
  <si>
    <t>Rindergülle, Milchvieh Acker 8% TS [BW]</t>
  </si>
  <si>
    <t>Rindergülle, Milchvieh Acker 8% TS [BY]</t>
  </si>
  <si>
    <t>Rindergülle, Milchvieh Grünland 10% TS [BW]</t>
  </si>
  <si>
    <t>Rindergülle, Milchvieh Grünland 8% TS [BW]</t>
  </si>
  <si>
    <t>Rindergülle, Milchvieh Grünland 8% TS [BY]</t>
  </si>
  <si>
    <t>Rindergülle, Milchvieh u. Rinder 10% TS [NW]</t>
  </si>
  <si>
    <t>Rindergülle, Milchvieh u. Rinder 6% TS [NW]</t>
  </si>
  <si>
    <t>Rindergülle, Milchvieh u. Rinder 8% TS [NW]</t>
  </si>
  <si>
    <t>Rindergülle, normal 7% TS [SH]</t>
  </si>
  <si>
    <t>Rinderjauche 2% TS [BW]</t>
  </si>
  <si>
    <t>Rinderjauche 2% TS [NW]</t>
  </si>
  <si>
    <t>Rinderjauche 2% TS [SH]</t>
  </si>
  <si>
    <t>Rinderjauche 2% TS [SN]</t>
  </si>
  <si>
    <t>Rinderjauche 2% TS [SN] Öko. Landbau</t>
  </si>
  <si>
    <t>Rinderjauche 3% TS [BY]</t>
  </si>
  <si>
    <t>Rinderjauche 6.4% TS</t>
  </si>
  <si>
    <t>Rindermist 23% TS [NW]</t>
  </si>
  <si>
    <t>Rindermist 23.1% TS</t>
  </si>
  <si>
    <t>Rindermist 25% TS [SH]</t>
  </si>
  <si>
    <t>Rindermist 25% TS [SN]</t>
  </si>
  <si>
    <t>Rindermist 25% TS [SN] Öko. Landbau</t>
  </si>
  <si>
    <t>Rindermist, Acker 25% TS [BW]</t>
  </si>
  <si>
    <t>Rindermist, frisch 23.1% TS</t>
  </si>
  <si>
    <t>Rindermist, Grünland 25% TS [BW]</t>
  </si>
  <si>
    <t>Rindermist, Kurz-,Mittellangstand 25% TS [BY]</t>
  </si>
  <si>
    <t>Rindermist, Tiefstall 25% TS [BY]</t>
  </si>
  <si>
    <t>Rizinusschrot 91% TS</t>
  </si>
  <si>
    <t>Rizinusschrot 92% TS [SN] Öko. Landbau</t>
  </si>
  <si>
    <t>Roggenstroh 90% TS [BY]</t>
  </si>
  <si>
    <t>Sägemehl 70% TS [BY]</t>
  </si>
  <si>
    <t>Schafmist 25% TS [BW]</t>
  </si>
  <si>
    <t>Schafmist 25% TS [SH]</t>
  </si>
  <si>
    <t>Schafmist 30% TS [BY]</t>
  </si>
  <si>
    <t>Schafmist 30% TS [SN]</t>
  </si>
  <si>
    <t>Schafmist 30% TS [SN] Öko. Landbau</t>
  </si>
  <si>
    <t>Schafmist 31% TS</t>
  </si>
  <si>
    <t>Schafmist 37% TS [NW]</t>
  </si>
  <si>
    <t>Schafwolle 94.2% TS</t>
  </si>
  <si>
    <t>Schlachtabfälle Fettabscheider 30% TS [BY]</t>
  </si>
  <si>
    <t>Schlachtabfälle Panseninhalt 30% TS [BY]</t>
  </si>
  <si>
    <t>Schlempe, dünn Getreide 6% TS</t>
  </si>
  <si>
    <t>Schlempe, dünn Kartoffel 5.1% TS</t>
  </si>
  <si>
    <t>Schlempe, dünn Mais 5.5% TS</t>
  </si>
  <si>
    <t>Schlempe, flüssig 5.5% TS</t>
  </si>
  <si>
    <t>Schlempe, Getreide 6% TS [BW]</t>
  </si>
  <si>
    <t>Schlempe, Kartoffel 5% TS [BY]</t>
  </si>
  <si>
    <t>Schlempe, Kartoffel 6% TS [BW]</t>
  </si>
  <si>
    <t>Schlempe, Obst 3% TS [BW]</t>
  </si>
  <si>
    <t>Schlempe, Trocken 89% TS</t>
  </si>
  <si>
    <t>Schweinegülle 12% TS [SN]</t>
  </si>
  <si>
    <t>Schweinegülle 12% TS [SN] Öko. Landbau</t>
  </si>
  <si>
    <t>Schweinegülle 4% TS [SN]</t>
  </si>
  <si>
    <t>Schweinegülle 4% TS [SN] Öko. Landbau</t>
  </si>
  <si>
    <t>Schweinegülle 8% TS [SN]</t>
  </si>
  <si>
    <t>Schweinegülle 8% TS [SN] Öko. Landbau</t>
  </si>
  <si>
    <t>Schweinegülle, dick 5% TS [SH]</t>
  </si>
  <si>
    <t>Schweinegülle, dünn 2% TS [SH]</t>
  </si>
  <si>
    <t>Schweinegülle, Ferkel 5% TS [NW]</t>
  </si>
  <si>
    <t>Schweinegülle, Mast 3% TS [NW]</t>
  </si>
  <si>
    <t>Schweinegülle, Mast 5% TS</t>
  </si>
  <si>
    <t>Schweinegülle, Mast 5% TS [NW]</t>
  </si>
  <si>
    <t>Schweinegülle, Mast 7% TS [NW]</t>
  </si>
  <si>
    <t>Schweinegülle, Mast N-,P-reduziert 5% TS [BY]</t>
  </si>
  <si>
    <t>Schweinegülle, Mast Standardfutter 5% TS [BY]</t>
  </si>
  <si>
    <t>Schweinegülle, Mast, N/P-reduziert 5% TS [BW]</t>
  </si>
  <si>
    <t>Schweinegülle, Mast, N/P-reduziert 8% TS [BW]</t>
  </si>
  <si>
    <t>Schweinegülle, Mast, Standard 5% TS [BW]</t>
  </si>
  <si>
    <t>Schweinegülle, Mast, Standard 8% TS [BW]</t>
  </si>
  <si>
    <t>Schweinegülle, normal 3% TS [SH]</t>
  </si>
  <si>
    <t>Schweinegülle, Sauen 2% TS [NW]</t>
  </si>
  <si>
    <t>Schweinegülle, Sauen 4% TS [NW]</t>
  </si>
  <si>
    <t>Schweinegülle, Sauenzucht, N-,P-reduziert 5% TS [BY]</t>
  </si>
  <si>
    <t>Schweinegülle, Sauenzucht, Standardfutter 5% TS [BY]</t>
  </si>
  <si>
    <t>Schweinegülle, Zucht, N/P-reduziert 5% TS [BW]</t>
  </si>
  <si>
    <t>Schweinegülle, Zucht, N/P-reduziert 8% TS [BW]</t>
  </si>
  <si>
    <t>Schweinegülle, Zucht, Standard 5% TS [BW]</t>
  </si>
  <si>
    <t>Schweinegülle, Zucht, Standard 8% TS [BW]</t>
  </si>
  <si>
    <t>Schweinejauche 2% TS [BY]</t>
  </si>
  <si>
    <t>Schweinejauche 2% TS [NW]</t>
  </si>
  <si>
    <t>Schweinejauche 2% TS [SH]</t>
  </si>
  <si>
    <t>Schweinejauche 2% TS [SN]</t>
  </si>
  <si>
    <t>Schweinejauche 2% TS [SN] Öko. Landbau</t>
  </si>
  <si>
    <t>Schweinejauche 3% TS</t>
  </si>
  <si>
    <t>Schweinejauche Standard 2% TS [BW]</t>
  </si>
  <si>
    <t>Schweinemist 23% TS [NW]</t>
  </si>
  <si>
    <t>Schweinemist 23% TS [SH]</t>
  </si>
  <si>
    <t>Schweinemist 25% TS [BY]</t>
  </si>
  <si>
    <t>Schweinemist 25% TS [SN]</t>
  </si>
  <si>
    <t>Schweinemist 25% TS [SN] Öko. Landbau</t>
  </si>
  <si>
    <t>Schweinemist 28% TS</t>
  </si>
  <si>
    <t>Schweinemist frisch 25% TS</t>
  </si>
  <si>
    <t>Schweinemist, N/P-reduziert 25% TS [BW]</t>
  </si>
  <si>
    <t>Schweinemist, Standard 25% TS [BW]</t>
  </si>
  <si>
    <t>Senfextraktionsschrot 90% TS</t>
  </si>
  <si>
    <t>Silagesickersaft 4% TS [BW]</t>
  </si>
  <si>
    <t>Silagesickersaft 4% TS [NW]</t>
  </si>
  <si>
    <t>Silagesickersaft 4% TS [SN]</t>
  </si>
  <si>
    <t>Silagesickersaft 4% TS [SN] Öko. Landbau</t>
  </si>
  <si>
    <t>Sojabohnenmehl 90% TS</t>
  </si>
  <si>
    <t>Sojabohnenschrot 95.1% TS</t>
  </si>
  <si>
    <t>Sojaextraktionsschrot 89.6% TS</t>
  </si>
  <si>
    <t>Sojaölkuchen 50% TS</t>
  </si>
  <si>
    <t>Stroh 86% TS [SN]</t>
  </si>
  <si>
    <t>Stroh 86% TS [SN] Öko. Landbau</t>
  </si>
  <si>
    <t>Stroh, Streuwiese 90% TS [BY]</t>
  </si>
  <si>
    <t>Stroh, Weizen 90% TS [BY]</t>
  </si>
  <si>
    <t>Traubenkernmehl 50% TS</t>
  </si>
  <si>
    <t>Traubenkernölkuchen 50% TS</t>
  </si>
  <si>
    <t>Trester, Trauben 40% TS [BW]</t>
  </si>
  <si>
    <t>Trester, Trauben 50% TS</t>
  </si>
  <si>
    <t>Trester, Weinherstellung 94% TS</t>
  </si>
  <si>
    <t>Verde Bio-Pflanzendünger u. Vitalisierung</t>
  </si>
  <si>
    <t>Vinasse 60% TS</t>
  </si>
  <si>
    <t>Vinasse 69% TS [SN] Öko. Landbau</t>
  </si>
  <si>
    <t>Vinasse, Zuckerrohr 55% TS</t>
  </si>
  <si>
    <t>Vinasse, Zuckerrübe 65% TS</t>
  </si>
  <si>
    <t>Vinasse-Kalisulfat E.V.A</t>
  </si>
  <si>
    <t>Walkhaare 93% TS</t>
  </si>
  <si>
    <t>Wickenmeal 89.5% TS</t>
  </si>
  <si>
    <t>Wickenpellets 89.5% TS</t>
  </si>
  <si>
    <t>Wickenschrot 89.5% TS</t>
  </si>
  <si>
    <t>Wurzelrückstände 15% TS</t>
  </si>
  <si>
    <t>Ziegenmist 25% TS [BW]</t>
  </si>
  <si>
    <t>Ziegenmist 30% TS [NW]</t>
  </si>
  <si>
    <t>Ziegenmist 30% TS [SN]</t>
  </si>
  <si>
    <t>Ziegenmist 30% TS [SN] Öko. Landbau</t>
  </si>
  <si>
    <t>Ziegenmist 31% TS</t>
  </si>
  <si>
    <t xml:space="preserve">MgO
kg FM/t, m³ </t>
  </si>
  <si>
    <t>Cnorg</t>
  </si>
  <si>
    <r>
      <t>P</t>
    </r>
    <r>
      <rPr>
        <b/>
        <vertAlign val="subscript"/>
        <sz val="11"/>
        <rFont val="Calibri"/>
        <family val="2"/>
      </rPr>
      <t>2</t>
    </r>
    <r>
      <rPr>
        <b/>
        <sz val="11"/>
        <rFont val="Calibri"/>
        <family val="2"/>
      </rPr>
      <t>O</t>
    </r>
    <r>
      <rPr>
        <b/>
        <vertAlign val="subscript"/>
        <sz val="11"/>
        <rFont val="Calibri"/>
        <family val="2"/>
      </rPr>
      <t>5</t>
    </r>
    <r>
      <rPr>
        <b/>
        <sz val="11"/>
        <rFont val="Calibri"/>
        <family val="2"/>
      </rPr>
      <t xml:space="preserve">
kg FM/t, m³ </t>
    </r>
  </si>
  <si>
    <t>Champost 30% TS [BW]</t>
  </si>
  <si>
    <t>Champost 32% TS [NW]</t>
  </si>
  <si>
    <t>Champost 37.5% TS</t>
  </si>
  <si>
    <t>Champost 39% TS [SN] Öko. Landbau</t>
  </si>
  <si>
    <t>Kompost allgemein 65% TS</t>
  </si>
  <si>
    <t>Kompost, Bioabfall 60% TS [BY]</t>
  </si>
  <si>
    <t>Kompost, Bioabfall 60% TS [SN]</t>
  </si>
  <si>
    <t>Kompost, Bioabfall 60% TS [SN] Öko. Landbau</t>
  </si>
  <si>
    <t>Kompost, Bioabfall 63% TS [BW]</t>
  </si>
  <si>
    <t>Kompost, Bioabfall 64% TS</t>
  </si>
  <si>
    <t>Kompost, Frisch Rottegrad II o. III 60% TS</t>
  </si>
  <si>
    <t>Kompost, Geflügelmist 42% TS</t>
  </si>
  <si>
    <t>Kompost, Grün-/Bio- 64% TS [NW]</t>
  </si>
  <si>
    <t>Kompost, Grün-/Bio- 65% TS</t>
  </si>
  <si>
    <t>Kompost, Grüngut 50% TS [BY]</t>
  </si>
  <si>
    <t>Kompost, Grüngut 55% TS [BW]</t>
  </si>
  <si>
    <t>Kompost, Grüngut 60% TS [SN]</t>
  </si>
  <si>
    <t>Kompost, Grüngut 60% TS [SN] Öko. Landbau</t>
  </si>
  <si>
    <t>Kompost, Grünschnitt 61% TS [NW]</t>
  </si>
  <si>
    <t>Kompost, Grünschnitt 65% TS</t>
  </si>
  <si>
    <t>Kompost, Misch- 65% TS</t>
  </si>
  <si>
    <t>Kompost, Rinden 40% TS [BY]</t>
  </si>
  <si>
    <t>Kompost, Rindermist 25% TS</t>
  </si>
  <si>
    <t>Kompost, Schweinemist 25% TS</t>
  </si>
  <si>
    <t>Kompost, Stallmist 35% TS [SN]</t>
  </si>
  <si>
    <t>Kompost, Stallmist 35% TS [SN] Öko. Landbau</t>
  </si>
  <si>
    <t>Kompost, Substrat 65% TS</t>
  </si>
  <si>
    <t>Kompost, Trester 60% TS [BY]</t>
  </si>
  <si>
    <t>Kompost, Wurm-/Vermi- 30% TS</t>
  </si>
  <si>
    <t>Naturdünger abgepresst getrocknet Bioenergie Kusenhof</t>
  </si>
  <si>
    <t>Naturdünger abgepresst kompostiert Bioenergie Kusenhof</t>
  </si>
  <si>
    <t>RAL-Fertigkompost, Pflanzenmaterial</t>
  </si>
  <si>
    <t>RAL - Fertigkompost, Hausabfälle</t>
  </si>
  <si>
    <t>MgO 
kg FM/t</t>
  </si>
  <si>
    <r>
      <t>N</t>
    </r>
    <r>
      <rPr>
        <b/>
        <vertAlign val="subscript"/>
        <sz val="11"/>
        <rFont val="Calibri"/>
        <family val="2"/>
      </rPr>
      <t xml:space="preserve">gesamt </t>
    </r>
    <r>
      <rPr>
        <b/>
        <sz val="11"/>
        <rFont val="Calibri"/>
        <family val="2"/>
      </rPr>
      <t xml:space="preserve">
kg FM/t</t>
    </r>
  </si>
  <si>
    <r>
      <t>N</t>
    </r>
    <r>
      <rPr>
        <b/>
        <vertAlign val="subscript"/>
        <sz val="11"/>
        <rFont val="Calibri"/>
        <family val="2"/>
      </rPr>
      <t xml:space="preserve">mineralisch </t>
    </r>
    <r>
      <rPr>
        <b/>
        <sz val="11"/>
        <rFont val="Calibri"/>
        <family val="2"/>
      </rPr>
      <t xml:space="preserve">
kg FM/t</t>
    </r>
  </si>
  <si>
    <r>
      <t>P</t>
    </r>
    <r>
      <rPr>
        <b/>
        <vertAlign val="subscript"/>
        <sz val="11"/>
        <rFont val="Calibri"/>
        <family val="2"/>
      </rPr>
      <t>2</t>
    </r>
    <r>
      <rPr>
        <b/>
        <sz val="11"/>
        <rFont val="Calibri"/>
        <family val="2"/>
      </rPr>
      <t>O</t>
    </r>
    <r>
      <rPr>
        <b/>
        <vertAlign val="subscript"/>
        <sz val="11"/>
        <rFont val="Calibri"/>
        <family val="2"/>
      </rPr>
      <t xml:space="preserve">5 </t>
    </r>
    <r>
      <rPr>
        <b/>
        <sz val="11"/>
        <rFont val="Calibri"/>
        <family val="2"/>
      </rPr>
      <t xml:space="preserve">
kg FM/t</t>
    </r>
  </si>
  <si>
    <r>
      <t>K</t>
    </r>
    <r>
      <rPr>
        <b/>
        <vertAlign val="subscript"/>
        <sz val="11"/>
        <rFont val="Calibri"/>
        <family val="2"/>
      </rPr>
      <t>2</t>
    </r>
    <r>
      <rPr>
        <b/>
        <sz val="11"/>
        <rFont val="Calibri"/>
        <family val="2"/>
      </rPr>
      <t>O 
kg FM/t</t>
    </r>
  </si>
  <si>
    <r>
      <t>Mindest-wirksamkeit Ausbringjahr
% N</t>
    </r>
    <r>
      <rPr>
        <b/>
        <vertAlign val="subscript"/>
        <sz val="11"/>
        <rFont val="Calibri"/>
        <family val="2"/>
      </rPr>
      <t>gesamt</t>
    </r>
  </si>
  <si>
    <r>
      <t>N</t>
    </r>
    <r>
      <rPr>
        <b/>
        <vertAlign val="subscript"/>
        <sz val="11"/>
        <rFont val="Calibri"/>
        <family val="2"/>
      </rPr>
      <t>gesamt</t>
    </r>
    <r>
      <rPr>
        <b/>
        <sz val="11"/>
        <rFont val="Calibri"/>
        <family val="2"/>
      </rPr>
      <t xml:space="preserve">
kg FM/t, m³</t>
    </r>
  </si>
  <si>
    <r>
      <t>N</t>
    </r>
    <r>
      <rPr>
        <b/>
        <vertAlign val="subscript"/>
        <sz val="11"/>
        <rFont val="Calibri"/>
        <family val="2"/>
      </rPr>
      <t xml:space="preserve">mineralisch </t>
    </r>
    <r>
      <rPr>
        <b/>
        <sz val="11"/>
        <rFont val="Calibri"/>
        <family val="2"/>
      </rPr>
      <t xml:space="preserve">
kg FM/t, m³ </t>
    </r>
  </si>
  <si>
    <r>
      <t>K</t>
    </r>
    <r>
      <rPr>
        <b/>
        <vertAlign val="subscript"/>
        <sz val="11"/>
        <rFont val="Calibri"/>
        <family val="2"/>
      </rPr>
      <t>2</t>
    </r>
    <r>
      <rPr>
        <b/>
        <sz val="11"/>
        <rFont val="Calibri"/>
        <family val="2"/>
      </rPr>
      <t xml:space="preserve">O
kg FM/t, m³ </t>
    </r>
  </si>
  <si>
    <r>
      <t xml:space="preserve">Drachenkopf, </t>
    </r>
    <r>
      <rPr>
        <sz val="10"/>
        <rFont val="Arial"/>
        <family val="2"/>
      </rPr>
      <t>Iberischer, Samen + Stroh*</t>
    </r>
  </si>
  <si>
    <r>
      <t xml:space="preserve">Drachenkopf, </t>
    </r>
    <r>
      <rPr>
        <sz val="10"/>
        <rFont val="Arial"/>
        <family val="2"/>
      </rPr>
      <t>Iberischer, Samen*</t>
    </r>
  </si>
  <si>
    <t>Drachenkopf, Türkischer, blühendes Kraut*</t>
  </si>
  <si>
    <t>Engelwurz, Sibirische, Wurzel + Kraut*</t>
  </si>
  <si>
    <t>Engelwurz, Sibirische, Wurzel*</t>
  </si>
  <si>
    <t>Kamille, Blüten*</t>
  </si>
  <si>
    <t>Kümmel, zweijährig, Erntejahr, Frucht + Stroh*</t>
  </si>
  <si>
    <t>Kümmel, zweijährig, Erntejahr, Frucht*</t>
  </si>
  <si>
    <t>Schnittlauch, Wurzel für Treiberei*</t>
  </si>
  <si>
    <t>N-Fix kg/dt FM</t>
  </si>
  <si>
    <t>HNV
1:x</t>
  </si>
  <si>
    <r>
      <t xml:space="preserve">Kultur </t>
    </r>
    <r>
      <rPr>
        <sz val="11"/>
        <rFont val="Calibri"/>
        <family val="2"/>
        <scheme val="minor"/>
      </rPr>
      <t>(*nicht in DüV, Quelle: LfL Freising)</t>
    </r>
  </si>
  <si>
    <r>
      <t>P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O</t>
    </r>
    <r>
      <rPr>
        <b/>
        <vertAlign val="subscript"/>
        <sz val="11"/>
        <rFont val="Calibri"/>
        <family val="2"/>
        <scheme val="minor"/>
      </rPr>
      <t>5</t>
    </r>
    <r>
      <rPr>
        <b/>
        <sz val="11"/>
        <rFont val="Calibri"/>
        <family val="2"/>
        <scheme val="minor"/>
      </rPr>
      <t>-Fest-legung kg/ha</t>
    </r>
  </si>
  <si>
    <r>
      <t>K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O-Fest-legung kg/ha</t>
    </r>
  </si>
  <si>
    <t>Kenaf, Ganzpflanze</t>
  </si>
  <si>
    <t>Tabak, Geudertheimer*</t>
  </si>
  <si>
    <t>Aubergine</t>
  </si>
  <si>
    <t>Edamame*</t>
  </si>
  <si>
    <t>Erbse, Gemüse</t>
  </si>
  <si>
    <t>Kichererbsen</t>
  </si>
  <si>
    <t>Kohlrabi, Knollen &gt; 12 cm</t>
  </si>
  <si>
    <t>Kürbis, Hokkaido*</t>
  </si>
  <si>
    <t>Kürbis, Öl, Kerne</t>
  </si>
  <si>
    <t>Mangold, Blatt, Folgeernte*</t>
  </si>
  <si>
    <t>Mangold, Stiel, eine Ernte*</t>
  </si>
  <si>
    <t>Mangold, Stiel, Folgeernte*</t>
  </si>
  <si>
    <t>Tomate</t>
  </si>
  <si>
    <t>Mindest-wirksamkeit Ausbringjahr
% Ngesamt</t>
  </si>
  <si>
    <r>
      <t>P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O</t>
    </r>
    <r>
      <rPr>
        <b/>
        <vertAlign val="subscript"/>
        <sz val="11"/>
        <rFont val="Calibri"/>
        <family val="2"/>
        <scheme val="minor"/>
      </rPr>
      <t>5</t>
    </r>
    <r>
      <rPr>
        <b/>
        <sz val="11"/>
        <rFont val="Calibri"/>
        <family val="2"/>
        <scheme val="minor"/>
      </rPr>
      <t>-Nährstoff-gehalt
kg/dt FM</t>
    </r>
  </si>
  <si>
    <r>
      <t>K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O-Nährstoff-gehalt
kg/dt FM</t>
    </r>
  </si>
  <si>
    <t>MgO-Nährstoff-gehalt
kg/dt FM</t>
  </si>
  <si>
    <t>N-Nährstoff-gehalt
kg/dt FM</t>
  </si>
  <si>
    <r>
      <t>P</t>
    </r>
    <r>
      <rPr>
        <b/>
        <vertAlign val="subscript"/>
        <sz val="11"/>
        <color indexed="10"/>
        <rFont val="Calibri"/>
        <family val="2"/>
      </rPr>
      <t>2</t>
    </r>
    <r>
      <rPr>
        <b/>
        <sz val="11"/>
        <color indexed="10"/>
        <rFont val="Calibri"/>
        <family val="2"/>
      </rPr>
      <t>O</t>
    </r>
    <r>
      <rPr>
        <b/>
        <vertAlign val="subscript"/>
        <sz val="11"/>
        <color indexed="10"/>
        <rFont val="Calibri"/>
        <family val="2"/>
      </rPr>
      <t xml:space="preserve">5 </t>
    </r>
    <r>
      <rPr>
        <b/>
        <sz val="11"/>
        <color indexed="10"/>
        <rFont val="Calibri"/>
        <family val="2"/>
      </rPr>
      <t xml:space="preserve">Bodengehaltsklasse </t>
    </r>
  </si>
  <si>
    <r>
      <t>P</t>
    </r>
    <r>
      <rPr>
        <b/>
        <vertAlign val="subscript"/>
        <sz val="11"/>
        <color indexed="10"/>
        <rFont val="Calibri"/>
        <family val="2"/>
      </rPr>
      <t>2</t>
    </r>
    <r>
      <rPr>
        <b/>
        <sz val="11"/>
        <color indexed="10"/>
        <rFont val="Calibri"/>
        <family val="2"/>
      </rPr>
      <t>O</t>
    </r>
    <r>
      <rPr>
        <b/>
        <vertAlign val="subscript"/>
        <sz val="11"/>
        <color indexed="10"/>
        <rFont val="Calibri"/>
        <family val="2"/>
      </rPr>
      <t>5</t>
    </r>
    <r>
      <rPr>
        <b/>
        <sz val="11"/>
        <color indexed="10"/>
        <rFont val="Calibri"/>
        <family val="2"/>
      </rPr>
      <t xml:space="preserve"> Boden-Zuschlag DüV Feldabfuhr kg/ha </t>
    </r>
  </si>
  <si>
    <r>
      <t>P</t>
    </r>
    <r>
      <rPr>
        <b/>
        <vertAlign val="subscript"/>
        <sz val="11"/>
        <color indexed="10"/>
        <rFont val="Calibri"/>
        <family val="2"/>
      </rPr>
      <t>2</t>
    </r>
    <r>
      <rPr>
        <b/>
        <sz val="11"/>
        <color indexed="10"/>
        <rFont val="Calibri"/>
        <family val="2"/>
      </rPr>
      <t>O</t>
    </r>
    <r>
      <rPr>
        <b/>
        <vertAlign val="subscript"/>
        <sz val="11"/>
        <color indexed="10"/>
        <rFont val="Calibri"/>
        <family val="2"/>
      </rPr>
      <t xml:space="preserve">5 </t>
    </r>
    <r>
      <rPr>
        <b/>
        <sz val="11"/>
        <color indexed="10"/>
        <rFont val="Calibri"/>
        <family val="2"/>
      </rPr>
      <t>Faktor Feldabfuhr Gefährdungsgebiet Landes-DüV RLP</t>
    </r>
  </si>
  <si>
    <r>
      <t>B</t>
    </r>
    <r>
      <rPr>
        <vertAlign val="subscript"/>
        <sz val="11"/>
        <rFont val="Calibri"/>
        <family val="2"/>
      </rPr>
      <t>1</t>
    </r>
  </si>
  <si>
    <r>
      <t>B</t>
    </r>
    <r>
      <rPr>
        <vertAlign val="subscript"/>
        <sz val="11"/>
        <rFont val="Calibri"/>
        <family val="2"/>
      </rPr>
      <t>2</t>
    </r>
  </si>
  <si>
    <r>
      <t>C</t>
    </r>
    <r>
      <rPr>
        <vertAlign val="subscript"/>
        <sz val="11"/>
        <rFont val="Calibri"/>
        <family val="2"/>
      </rPr>
      <t>1</t>
    </r>
  </si>
  <si>
    <r>
      <t>C</t>
    </r>
    <r>
      <rPr>
        <vertAlign val="subscript"/>
        <sz val="11"/>
        <rFont val="Calibri"/>
        <family val="2"/>
      </rPr>
      <t>2</t>
    </r>
  </si>
  <si>
    <r>
      <t>B</t>
    </r>
    <r>
      <rPr>
        <vertAlign val="subscript"/>
        <sz val="11"/>
        <color indexed="10"/>
        <rFont val="Calibri"/>
        <family val="2"/>
      </rPr>
      <t>1</t>
    </r>
  </si>
  <si>
    <r>
      <t>C</t>
    </r>
    <r>
      <rPr>
        <vertAlign val="subscript"/>
        <sz val="11"/>
        <rFont val="Calibri"/>
        <family val="2"/>
      </rPr>
      <t>3</t>
    </r>
  </si>
  <si>
    <r>
      <t>D</t>
    </r>
    <r>
      <rPr>
        <vertAlign val="subscript"/>
        <sz val="11"/>
        <rFont val="Calibri"/>
        <family val="2"/>
      </rPr>
      <t>1</t>
    </r>
  </si>
  <si>
    <r>
      <t>B</t>
    </r>
    <r>
      <rPr>
        <vertAlign val="subscript"/>
        <sz val="11"/>
        <color indexed="10"/>
        <rFont val="Calibri"/>
        <family val="2"/>
      </rPr>
      <t>2</t>
    </r>
  </si>
  <si>
    <r>
      <t>D</t>
    </r>
    <r>
      <rPr>
        <vertAlign val="subscript"/>
        <sz val="11"/>
        <rFont val="Calibri"/>
        <family val="2"/>
      </rPr>
      <t>2</t>
    </r>
  </si>
  <si>
    <r>
      <t>C</t>
    </r>
    <r>
      <rPr>
        <vertAlign val="subscript"/>
        <sz val="11"/>
        <color indexed="10"/>
        <rFont val="Calibri"/>
        <family val="2"/>
      </rPr>
      <t>1</t>
    </r>
  </si>
  <si>
    <r>
      <t>C</t>
    </r>
    <r>
      <rPr>
        <vertAlign val="subscript"/>
        <sz val="11"/>
        <color indexed="10"/>
        <rFont val="Calibri"/>
        <family val="2"/>
      </rPr>
      <t>2</t>
    </r>
  </si>
  <si>
    <r>
      <t>C</t>
    </r>
    <r>
      <rPr>
        <vertAlign val="subscript"/>
        <sz val="11"/>
        <color indexed="10"/>
        <rFont val="Calibri"/>
        <family val="2"/>
      </rPr>
      <t>3</t>
    </r>
  </si>
  <si>
    <r>
      <t>D</t>
    </r>
    <r>
      <rPr>
        <vertAlign val="subscript"/>
        <sz val="11"/>
        <color indexed="10"/>
        <rFont val="Calibri"/>
        <family val="2"/>
      </rPr>
      <t>1</t>
    </r>
  </si>
  <si>
    <r>
      <t>D</t>
    </r>
    <r>
      <rPr>
        <vertAlign val="subscript"/>
        <sz val="11"/>
        <color indexed="10"/>
        <rFont val="Calibri"/>
        <family val="2"/>
      </rPr>
      <t>2</t>
    </r>
  </si>
  <si>
    <t>Kürbis, Speise</t>
  </si>
  <si>
    <t>Mangold, Blatt, eine Ernte*</t>
  </si>
  <si>
    <t>Speiserübe, Mairübe mit Laub</t>
  </si>
  <si>
    <t>Speiserübe, Teltower Rübchen, Herbst</t>
  </si>
  <si>
    <r>
      <t>Knoblauch</t>
    </r>
    <r>
      <rPr>
        <sz val="11"/>
        <color rgb="FFFF0000"/>
        <rFont val="Calibri"/>
        <family val="2"/>
        <scheme val="minor"/>
      </rPr>
      <t>, trocken</t>
    </r>
    <r>
      <rPr>
        <sz val="11"/>
        <rFont val="Calibri"/>
        <family val="2"/>
        <scheme val="minor"/>
      </rPr>
      <t>*</t>
    </r>
  </si>
  <si>
    <t>Tabak, Virgin*</t>
  </si>
  <si>
    <t>Zwischenfrucht nach Getreide/Saat &lt; 30.8./&lt;50% Leg*</t>
  </si>
  <si>
    <t>Zwischenfrucht nach Getreide/Saat &gt; 30.8./&lt;50% Leg*</t>
  </si>
  <si>
    <t>Zwischenfrucht-Futter n. Getreide/Saat &lt; 30.8./&lt;50% Leg*</t>
  </si>
  <si>
    <t>Zwischenfrucht-Futter n. Getreide/Saat &gt; 30.8./&lt;50% Leg*</t>
  </si>
  <si>
    <t>Zwiebel, Trocken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</si>
</sst>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9">
    <numFmt numFmtId="164" formatCode="0\ &quot;kg/ha&quot;"/>
    <numFmt numFmtId="165" formatCode="0.0"/>
    <numFmt numFmtId="166" formatCode="&quot;N-Gehalt&quot;\ 0.0"/>
    <numFmt numFmtId="167" formatCode="dd/mm/yy;@"/>
    <numFmt numFmtId="168" formatCode="&quot;in 0 -&quot;\ 0\ &quot;cm&quot;"/>
    <numFmt numFmtId="169" formatCode="\+0;\-0;0"/>
    <numFmt numFmtId="170" formatCode="0\ &quot;% Ertragsdifferenz (Grenze +- 100 %) &quot;"/>
    <numFmt numFmtId="171" formatCode="&quot;N-Bedarfswert in Kulturwoche&quot;\ 0"/>
    <numFmt numFmtId="172" formatCode="&quot;Feldabfuhr bei&quot;\ 0\ &quot;dt/ha Ertrag&quot;"/>
    <numFmt numFmtId="173" formatCode="0.000"/>
    <numFmt numFmtId="174" formatCode="0\ &quot;% Ertragsdifferenz&quot;"/>
    <numFmt numFmtId="175" formatCode="&quot;Nährstoffgehaltsklasse&quot;\ 0"/>
    <numFmt numFmtId="176" formatCode="&quot;Feldabfuhr kg/ha bei&quot;\ 0\ &quot;dt/ha Ertrag&quot;"/>
    <numFmt numFmtId="177" formatCode="0_ ;\-0\ "/>
    <numFmt numFmtId="178" formatCode="&quot;bei&quot;\ 0\ &quot;dt/ha Ertrag&quot;"/>
    <numFmt numFmtId="179" formatCode="0\ &quot;dt/ha Differenz&quot;"/>
    <numFmt numFmtId="180" formatCode="\+0"/>
    <numFmt numFmtId="181" formatCode="&quot;cm&quot;\ "/>
    <numFmt numFmtId="182" formatCode="&quot;i.d.R. 0 -&quot;\ 0\ &quot;cm&quot;"/>
    <numFmt numFmtId="183" formatCode="dd/mm/yy"/>
    <numFmt numFmtId="184" formatCode="###0.0;###0.0"/>
    <numFmt numFmtId="185" formatCode="###0.00;###0.00"/>
    <numFmt numFmtId="186" formatCode="0\ &quot;% Abfall v.d. TM&quot;"/>
    <numFmt numFmtId="187" formatCode="&quot;Feldabfuhr bei&quot;\ 0.00\ &quot;dt TM/ha Ertrag&quot;"/>
    <numFmt numFmtId="188" formatCode="0.00\ &quot;dt Ertragsdifferenz&quot;"/>
    <numFmt numFmtId="189" formatCode="&quot;bei&quot;\ 0.00\ &quot;dt TM/ha Ertrag&quot;"/>
    <numFmt numFmtId="190" formatCode="&quot;ohne&quot;\ 0\ &quot;% Prozessabfall&quot;"/>
    <numFmt numFmtId="191" formatCode="0\ &quot;% Differenz&quot;"/>
    <numFmt numFmtId="192" formatCode="0\ &quot;kg/ha Bodenabschlag&quot;"/>
  </numFmts>
  <fonts count="96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8"/>
      <name val="Arial"/>
      <family val="2"/>
    </font>
    <font>
      <sz val="10"/>
      <name val="Calibri"/>
      <family val="2"/>
      <scheme val="minor"/>
    </font>
    <font>
      <b/>
      <sz val="18"/>
      <name val="Calibri"/>
      <family val="2"/>
      <scheme val="minor"/>
    </font>
    <font>
      <sz val="11"/>
      <color rgb="FF000000"/>
      <name val="Calibri"/>
      <family val="2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24"/>
      <name val="Calibri"/>
      <family val="2"/>
      <scheme val="minor"/>
    </font>
    <font>
      <sz val="10"/>
      <color indexed="81"/>
      <name val="Calibri"/>
      <family val="2"/>
      <scheme val="minor"/>
    </font>
    <font>
      <sz val="8"/>
      <color rgb="FFFF0000"/>
      <name val="Calibri"/>
      <family val="2"/>
      <scheme val="minor"/>
    </font>
    <font>
      <sz val="16"/>
      <name val="Calibri"/>
      <family val="2"/>
      <scheme val="minor"/>
    </font>
    <font>
      <sz val="12"/>
      <name val="Arial"/>
      <family val="2"/>
    </font>
    <font>
      <sz val="10"/>
      <color rgb="FF0070C0"/>
      <name val="Arial"/>
      <family val="2"/>
    </font>
    <font>
      <sz val="18"/>
      <name val="Calibri"/>
      <family val="2"/>
      <scheme val="minor"/>
    </font>
    <font>
      <b/>
      <sz val="18"/>
      <color rgb="FF0070C0"/>
      <name val="Calibri"/>
      <family val="2"/>
      <scheme val="minor"/>
    </font>
    <font>
      <sz val="18"/>
      <color rgb="FF0070C0"/>
      <name val="Calibri"/>
      <family val="2"/>
      <scheme val="minor"/>
    </font>
    <font>
      <u/>
      <sz val="10"/>
      <color theme="10"/>
      <name val="Arial"/>
      <family val="2"/>
    </font>
    <font>
      <b/>
      <sz val="14"/>
      <color theme="9"/>
      <name val="Calibri"/>
      <family val="2"/>
      <scheme val="minor"/>
    </font>
    <font>
      <b/>
      <sz val="9"/>
      <color theme="9" tint="-0.249977111117893"/>
      <name val="Calibri"/>
      <family val="2"/>
      <scheme val="minor"/>
    </font>
    <font>
      <sz val="9"/>
      <name val="Calibri"/>
      <family val="2"/>
      <scheme val="minor"/>
    </font>
    <font>
      <sz val="8"/>
      <color theme="9"/>
      <name val="Calibri"/>
      <family val="2"/>
      <scheme val="minor"/>
    </font>
    <font>
      <sz val="16"/>
      <color theme="9"/>
      <name val="Calibri"/>
      <family val="2"/>
      <scheme val="minor"/>
    </font>
    <font>
      <b/>
      <u/>
      <sz val="12"/>
      <color theme="9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rgb="FFFF0000"/>
      <name val="Arial"/>
      <family val="2"/>
    </font>
    <font>
      <sz val="11"/>
      <color rgb="FF3399FF"/>
      <name val="Calibri"/>
      <family val="2"/>
      <scheme val="minor"/>
    </font>
    <font>
      <sz val="10"/>
      <color rgb="FF3399FF"/>
      <name val="Arial"/>
      <family val="2"/>
    </font>
    <font>
      <b/>
      <sz val="18"/>
      <color rgb="FF3399FF"/>
      <name val="Calibri"/>
      <family val="2"/>
      <scheme val="minor"/>
    </font>
    <font>
      <b/>
      <sz val="8"/>
      <color theme="9" tint="-0.249977111117893"/>
      <name val="Calibri"/>
      <family val="2"/>
      <scheme val="minor"/>
    </font>
    <font>
      <sz val="11"/>
      <color rgb="FF000000"/>
      <name val="Calibri"/>
      <family val="2"/>
    </font>
    <font>
      <u/>
      <sz val="12"/>
      <name val="Calibri"/>
      <family val="2"/>
      <scheme val="minor"/>
    </font>
    <font>
      <sz val="11"/>
      <color rgb="FF9C0006"/>
      <name val="Calibri"/>
      <family val="2"/>
    </font>
    <font>
      <sz val="10"/>
      <name val="Times New Roman"/>
      <family val="1"/>
    </font>
    <font>
      <sz val="10"/>
      <name val="Geneva"/>
    </font>
    <font>
      <b/>
      <sz val="10"/>
      <color indexed="81"/>
      <name val="Segoe UI"/>
      <family val="2"/>
    </font>
    <font>
      <sz val="10"/>
      <color indexed="81"/>
      <name val="Segoe UI"/>
      <family val="2"/>
    </font>
    <font>
      <b/>
      <sz val="14"/>
      <name val="Calibri"/>
      <family val="2"/>
      <scheme val="minor"/>
    </font>
    <font>
      <b/>
      <vertAlign val="subscript"/>
      <sz val="14"/>
      <name val="Calibri"/>
      <family val="2"/>
      <scheme val="minor"/>
    </font>
    <font>
      <vertAlign val="subscript"/>
      <sz val="10"/>
      <color indexed="8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vertAlign val="subscript"/>
      <sz val="10"/>
      <color theme="0"/>
      <name val="Arial"/>
      <family val="2"/>
    </font>
    <font>
      <sz val="10"/>
      <color theme="4"/>
      <name val="Arial"/>
      <family val="2"/>
    </font>
    <font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b/>
      <vertAlign val="subscript"/>
      <sz val="8"/>
      <color theme="9" tint="-0.249977111117893"/>
      <name val="Calibri"/>
      <family val="2"/>
      <scheme val="minor"/>
    </font>
    <font>
      <sz val="18"/>
      <name val="Calibri"/>
      <family val="2"/>
    </font>
    <font>
      <b/>
      <sz val="8"/>
      <color rgb="FFFF0000"/>
      <name val="Calibri"/>
      <family val="2"/>
      <scheme val="minor"/>
    </font>
    <font>
      <b/>
      <vertAlign val="subscript"/>
      <sz val="18"/>
      <name val="Calibri"/>
      <family val="2"/>
      <scheme val="minor"/>
    </font>
    <font>
      <b/>
      <sz val="11"/>
      <color theme="0"/>
      <name val="Calibri"/>
      <family val="2"/>
    </font>
    <font>
      <b/>
      <sz val="11"/>
      <name val="Calibri"/>
      <family val="2"/>
    </font>
    <font>
      <u/>
      <sz val="8"/>
      <color rgb="FFFF0000"/>
      <name val="Calibri"/>
      <family val="2"/>
      <scheme val="minor"/>
    </font>
    <font>
      <u/>
      <vertAlign val="subscript"/>
      <sz val="8"/>
      <color rgb="FFFF0000"/>
      <name val="Calibri"/>
      <family val="2"/>
      <scheme val="minor"/>
    </font>
    <font>
      <b/>
      <vertAlign val="subscript"/>
      <sz val="12"/>
      <name val="Calibri"/>
      <family val="2"/>
      <scheme val="minor"/>
    </font>
    <font>
      <vertAlign val="subscript"/>
      <sz val="12"/>
      <name val="Calibri"/>
      <family val="2"/>
      <scheme val="minor"/>
    </font>
    <font>
      <sz val="11"/>
      <color rgb="FF000000"/>
      <name val="Calibri"/>
      <family val="2"/>
    </font>
    <font>
      <b/>
      <vertAlign val="subscript"/>
      <sz val="11"/>
      <name val="Calibri"/>
      <family val="2"/>
    </font>
    <font>
      <b/>
      <sz val="12"/>
      <name val="Calibri"/>
      <family val="2"/>
    </font>
    <font>
      <b/>
      <sz val="12"/>
      <name val="Arial"/>
      <family val="2"/>
    </font>
    <font>
      <b/>
      <sz val="11"/>
      <color rgb="FFFF0000"/>
      <name val="Calibri"/>
      <family val="2"/>
      <scheme val="minor"/>
    </font>
    <font>
      <sz val="14"/>
      <name val="Calibri"/>
      <family val="2"/>
      <scheme val="minor"/>
    </font>
    <font>
      <sz val="14"/>
      <color theme="0"/>
      <name val="Calibri"/>
      <family val="2"/>
    </font>
    <font>
      <sz val="12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vertAlign val="subscript"/>
      <sz val="18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u/>
      <sz val="14"/>
      <color rgb="FFFF0000"/>
      <name val="Calibri"/>
      <family val="2"/>
      <scheme val="minor"/>
    </font>
    <font>
      <sz val="18"/>
      <color rgb="FFFF0000"/>
      <name val="Calibri"/>
      <family val="2"/>
    </font>
    <font>
      <vertAlign val="superscript"/>
      <sz val="12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8"/>
      <name val="Calibri"/>
      <family val="2"/>
      <scheme val="minor"/>
    </font>
    <font>
      <sz val="10"/>
      <color rgb="FF0070C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3399FF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bscript"/>
      <sz val="11"/>
      <color indexed="10"/>
      <name val="Calibri"/>
      <family val="2"/>
    </font>
    <font>
      <b/>
      <sz val="11"/>
      <color indexed="10"/>
      <name val="Calibri"/>
      <family val="2"/>
    </font>
    <font>
      <vertAlign val="subscript"/>
      <sz val="11"/>
      <name val="Calibri"/>
      <family val="2"/>
    </font>
    <font>
      <vertAlign val="subscript"/>
      <sz val="11"/>
      <color indexed="1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rgb="FFC0E3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rgb="FFC0C0C0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/>
      <top style="thin">
        <color rgb="FFD0D7E5"/>
      </top>
      <bottom style="thin">
        <color rgb="FFD0D7E5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rgb="FFD0D7E5"/>
      </left>
      <right style="thin">
        <color rgb="FFD0D7E5"/>
      </right>
      <top/>
      <bottom style="thin">
        <color rgb="FFD0D7E5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D0D7E5"/>
      </left>
      <right/>
      <top/>
      <bottom style="thin">
        <color rgb="FFD0D7E5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1499679555650502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8">
    <xf numFmtId="0" fontId="0" fillId="0" borderId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27" fillId="0" borderId="0" applyNumberFormat="0" applyFill="0" applyBorder="0" applyAlignment="0" applyProtection="0"/>
    <xf numFmtId="0" fontId="42" fillId="8" borderId="0" applyNumberFormat="0" applyBorder="0" applyAlignment="0" applyProtection="0"/>
    <xf numFmtId="0" fontId="2" fillId="0" borderId="0"/>
    <xf numFmtId="0" fontId="43" fillId="0" borderId="0"/>
    <xf numFmtId="0" fontId="44" fillId="0" borderId="0"/>
  </cellStyleXfs>
  <cellXfs count="443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shrinkToFit="1"/>
    </xf>
    <xf numFmtId="0" fontId="7" fillId="0" borderId="1" xfId="0" applyFont="1" applyFill="1" applyBorder="1" applyAlignment="1" applyProtection="1">
      <alignment vertical="center" shrinkToFit="1"/>
    </xf>
    <xf numFmtId="0" fontId="2" fillId="0" borderId="0" xfId="0" applyFont="1" applyAlignment="1">
      <alignment shrinkToFit="1"/>
    </xf>
    <xf numFmtId="0" fontId="11" fillId="0" borderId="1" xfId="0" applyFont="1" applyFill="1" applyBorder="1" applyAlignment="1" applyProtection="1">
      <alignment vertical="center" shrinkToFit="1"/>
    </xf>
    <xf numFmtId="0" fontId="10" fillId="0" borderId="0" xfId="0" applyFont="1" applyFill="1" applyBorder="1" applyAlignment="1" applyProtection="1">
      <alignment horizontal="left" vertical="center" shrinkToFit="1"/>
    </xf>
    <xf numFmtId="0" fontId="12" fillId="0" borderId="0" xfId="0" applyFont="1" applyFill="1" applyAlignment="1" applyProtection="1">
      <alignment horizontal="left" vertical="center" shrinkToFit="1"/>
    </xf>
    <xf numFmtId="0" fontId="0" fillId="0" borderId="0" xfId="0" applyAlignment="1" applyProtection="1">
      <alignment horizontal="left" vertical="center" shrinkToFit="1"/>
    </xf>
    <xf numFmtId="0" fontId="10" fillId="0" borderId="0" xfId="0" applyFont="1" applyAlignment="1" applyProtection="1">
      <alignment horizontal="left" vertical="center" shrinkToFit="1"/>
    </xf>
    <xf numFmtId="0" fontId="15" fillId="0" borderId="0" xfId="0" applyFont="1" applyFill="1" applyAlignment="1" applyProtection="1">
      <alignment horizontal="left" vertical="center" shrinkToFit="1"/>
    </xf>
    <xf numFmtId="0" fontId="10" fillId="0" borderId="0" xfId="0" applyFont="1" applyBorder="1" applyAlignment="1" applyProtection="1">
      <alignment vertical="center" shrinkToFit="1"/>
    </xf>
    <xf numFmtId="0" fontId="15" fillId="0" borderId="0" xfId="0" applyFont="1" applyAlignment="1" applyProtection="1">
      <alignment horizontal="left" vertical="center" shrinkToFit="1"/>
    </xf>
    <xf numFmtId="0" fontId="15" fillId="0" borderId="0" xfId="0" applyFont="1" applyAlignment="1" applyProtection="1">
      <alignment horizontal="center" vertical="center" shrinkToFit="1"/>
    </xf>
    <xf numFmtId="0" fontId="10" fillId="0" borderId="0" xfId="0" applyFont="1" applyAlignment="1" applyProtection="1">
      <alignment horizontal="center" vertical="center" shrinkToFit="1"/>
    </xf>
    <xf numFmtId="0" fontId="10" fillId="0" borderId="0" xfId="0" applyFont="1" applyAlignment="1" applyProtection="1">
      <alignment horizontal="right" vertical="center" shrinkToFit="1"/>
    </xf>
    <xf numFmtId="0" fontId="14" fillId="0" borderId="0" xfId="0" applyFont="1" applyAlignment="1" applyProtection="1">
      <alignment horizontal="center" vertical="center" shrinkToFit="1"/>
    </xf>
    <xf numFmtId="0" fontId="15" fillId="0" borderId="0" xfId="0" applyFont="1" applyAlignment="1" applyProtection="1">
      <alignment horizontal="right" vertical="center" shrinkToFit="1"/>
    </xf>
    <xf numFmtId="165" fontId="17" fillId="0" borderId="0" xfId="0" applyNumberFormat="1" applyFont="1" applyFill="1" applyAlignment="1" applyProtection="1">
      <alignment horizontal="left" vertical="center" shrinkToFit="1"/>
    </xf>
    <xf numFmtId="165" fontId="17" fillId="0" borderId="0" xfId="0" applyNumberFormat="1" applyFont="1" applyFill="1" applyAlignment="1" applyProtection="1">
      <alignment horizontal="right" vertical="center" shrinkToFit="1"/>
    </xf>
    <xf numFmtId="0" fontId="17" fillId="0" borderId="0" xfId="0" applyFont="1" applyAlignment="1" applyProtection="1">
      <alignment horizontal="right" vertical="center" shrinkToFit="1"/>
    </xf>
    <xf numFmtId="0" fontId="10" fillId="7" borderId="0" xfId="0" applyFont="1" applyFill="1" applyAlignment="1" applyProtection="1">
      <alignment horizontal="left" vertical="center" shrinkToFit="1"/>
    </xf>
    <xf numFmtId="166" fontId="10" fillId="0" borderId="0" xfId="0" applyNumberFormat="1" applyFont="1" applyFill="1" applyAlignment="1" applyProtection="1">
      <alignment horizontal="left" vertical="center" shrinkToFit="1"/>
    </xf>
    <xf numFmtId="0" fontId="10" fillId="0" borderId="0" xfId="0" applyFont="1" applyFill="1" applyAlignment="1" applyProtection="1">
      <alignment horizontal="center" vertical="center" shrinkToFit="1"/>
    </xf>
    <xf numFmtId="164" fontId="5" fillId="0" borderId="0" xfId="0" applyNumberFormat="1" applyFont="1" applyFill="1" applyAlignment="1" applyProtection="1">
      <alignment horizontal="right" vertical="center" shrinkToFit="1"/>
    </xf>
    <xf numFmtId="0" fontId="15" fillId="0" borderId="0" xfId="0" applyFont="1" applyFill="1" applyBorder="1" applyAlignment="1" applyProtection="1">
      <alignment horizontal="left" vertical="center" shrinkToFit="1"/>
    </xf>
    <xf numFmtId="0" fontId="21" fillId="0" borderId="0" xfId="0" applyFont="1" applyAlignment="1" applyProtection="1">
      <alignment horizontal="left" vertical="center" shrinkToFit="1"/>
    </xf>
    <xf numFmtId="0" fontId="21" fillId="0" borderId="0" xfId="0" applyFont="1" applyBorder="1" applyAlignment="1" applyProtection="1">
      <alignment horizontal="left" vertical="center" shrinkToFit="1"/>
    </xf>
    <xf numFmtId="0" fontId="24" fillId="0" borderId="0" xfId="0" applyFont="1" applyFill="1" applyBorder="1" applyAlignment="1" applyProtection="1">
      <alignment horizontal="center" vertical="center" shrinkToFit="1"/>
    </xf>
    <xf numFmtId="0" fontId="16" fillId="0" borderId="0" xfId="0" applyFont="1" applyAlignment="1" applyProtection="1">
      <alignment horizontal="left" vertical="center" shrinkToFit="1"/>
    </xf>
    <xf numFmtId="0" fontId="12" fillId="0" borderId="0" xfId="1" applyFont="1" applyFill="1" applyBorder="1" applyAlignment="1" applyProtection="1">
      <alignment horizontal="left" shrinkToFit="1"/>
    </xf>
    <xf numFmtId="0" fontId="15" fillId="0" borderId="0" xfId="0" applyFont="1" applyAlignment="1" applyProtection="1">
      <alignment horizontal="left" shrinkToFit="1"/>
    </xf>
    <xf numFmtId="164" fontId="26" fillId="0" borderId="0" xfId="0" applyNumberFormat="1" applyFont="1" applyFill="1" applyAlignment="1" applyProtection="1">
      <alignment horizontal="left" shrinkToFit="1"/>
    </xf>
    <xf numFmtId="0" fontId="14" fillId="0" borderId="0" xfId="0" applyFont="1" applyAlignment="1" applyProtection="1">
      <alignment horizontal="center" shrinkToFit="1"/>
    </xf>
    <xf numFmtId="0" fontId="30" fillId="0" borderId="0" xfId="0" applyFont="1" applyAlignment="1" applyProtection="1">
      <alignment horizontal="center" vertical="center" shrinkToFit="1"/>
    </xf>
    <xf numFmtId="0" fontId="30" fillId="0" borderId="0" xfId="0" applyFont="1" applyAlignment="1" applyProtection="1">
      <alignment horizontal="left" vertical="center" shrinkToFit="1"/>
    </xf>
    <xf numFmtId="0" fontId="29" fillId="0" borderId="0" xfId="1" applyFont="1" applyFill="1" applyBorder="1" applyAlignment="1" applyProtection="1">
      <alignment horizontal="left" vertical="center"/>
    </xf>
    <xf numFmtId="0" fontId="32" fillId="0" borderId="0" xfId="0" applyFont="1" applyFill="1" applyBorder="1" applyAlignment="1" applyProtection="1">
      <alignment horizontal="center" vertical="center" shrinkToFit="1"/>
    </xf>
    <xf numFmtId="1" fontId="6" fillId="6" borderId="0" xfId="0" applyNumberFormat="1" applyFont="1" applyFill="1" applyAlignment="1" applyProtection="1">
      <alignment horizontal="right" vertical="center" shrinkToFit="1"/>
    </xf>
    <xf numFmtId="169" fontId="15" fillId="6" borderId="0" xfId="0" applyNumberFormat="1" applyFont="1" applyFill="1" applyAlignment="1" applyProtection="1">
      <alignment horizontal="right" vertical="center" shrinkToFit="1"/>
    </xf>
    <xf numFmtId="1" fontId="6" fillId="5" borderId="0" xfId="0" applyNumberFormat="1" applyFont="1" applyFill="1" applyBorder="1" applyAlignment="1" applyProtection="1">
      <alignment horizontal="right" vertical="center" shrinkToFit="1"/>
    </xf>
    <xf numFmtId="1" fontId="33" fillId="0" borderId="0" xfId="0" applyNumberFormat="1" applyFont="1" applyFill="1" applyBorder="1" applyAlignment="1" applyProtection="1">
      <alignment horizontal="right" vertical="center" shrinkToFit="1"/>
    </xf>
    <xf numFmtId="1" fontId="16" fillId="5" borderId="0" xfId="0" applyNumberFormat="1" applyFont="1" applyFill="1" applyBorder="1" applyAlignment="1" applyProtection="1">
      <alignment horizontal="right" vertical="center" shrinkToFit="1"/>
    </xf>
    <xf numFmtId="169" fontId="16" fillId="6" borderId="0" xfId="0" applyNumberFormat="1" applyFont="1" applyFill="1" applyAlignment="1" applyProtection="1">
      <alignment horizontal="right" vertical="center" shrinkToFit="1"/>
    </xf>
    <xf numFmtId="0" fontId="23" fillId="0" borderId="0" xfId="0" applyFont="1" applyBorder="1" applyAlignment="1" applyProtection="1">
      <alignment horizontal="left" vertical="center" shrinkToFit="1"/>
    </xf>
    <xf numFmtId="1" fontId="25" fillId="0" borderId="0" xfId="0" applyNumberFormat="1" applyFont="1" applyFill="1" applyBorder="1" applyAlignment="1" applyProtection="1">
      <alignment vertical="center" shrinkToFit="1"/>
    </xf>
    <xf numFmtId="1" fontId="10" fillId="7" borderId="0" xfId="0" applyNumberFormat="1" applyFont="1" applyFill="1" applyBorder="1" applyAlignment="1" applyProtection="1">
      <alignment horizontal="left" vertical="center" shrinkToFit="1"/>
    </xf>
    <xf numFmtId="167" fontId="36" fillId="2" borderId="0" xfId="0" applyNumberFormat="1" applyFont="1" applyFill="1" applyBorder="1" applyAlignment="1" applyProtection="1">
      <alignment horizontal="left" vertical="center" indent="1" shrinkToFit="1"/>
      <protection locked="0"/>
    </xf>
    <xf numFmtId="0" fontId="0" fillId="0" borderId="0" xfId="0" applyFont="1" applyBorder="1" applyAlignment="1" applyProtection="1">
      <alignment vertical="center" shrinkToFit="1"/>
    </xf>
    <xf numFmtId="164" fontId="25" fillId="0" borderId="0" xfId="0" quotePrefix="1" applyNumberFormat="1" applyFont="1" applyFill="1" applyAlignment="1" applyProtection="1">
      <alignment horizontal="left" vertical="center" shrinkToFit="1"/>
    </xf>
    <xf numFmtId="0" fontId="15" fillId="0" borderId="0" xfId="0" quotePrefix="1" applyFont="1" applyAlignment="1" applyProtection="1">
      <alignment horizontal="left" vertical="center" shrinkToFit="1"/>
    </xf>
    <xf numFmtId="171" fontId="12" fillId="7" borderId="0" xfId="0" applyNumberFormat="1" applyFont="1" applyFill="1" applyAlignment="1" applyProtection="1">
      <alignment horizontal="left" vertical="center" shrinkToFit="1"/>
    </xf>
    <xf numFmtId="0" fontId="40" fillId="0" borderId="1" xfId="0" applyFont="1" applyFill="1" applyBorder="1" applyAlignment="1" applyProtection="1">
      <alignment vertical="center" shrinkToFit="1"/>
      <protection locked="0"/>
    </xf>
    <xf numFmtId="0" fontId="7" fillId="0" borderId="1" xfId="0" applyFont="1" applyFill="1" applyBorder="1" applyAlignment="1" applyProtection="1">
      <alignment vertical="center" shrinkToFit="1"/>
      <protection locked="0"/>
    </xf>
    <xf numFmtId="165" fontId="7" fillId="0" borderId="2" xfId="0" applyNumberFormat="1" applyFont="1" applyFill="1" applyBorder="1" applyAlignment="1" applyProtection="1">
      <alignment horizontal="right" vertical="center" shrinkToFit="1"/>
      <protection locked="0"/>
    </xf>
    <xf numFmtId="0" fontId="5" fillId="0" borderId="0" xfId="0" applyFont="1" applyAlignment="1" applyProtection="1">
      <alignment horizontal="right" vertical="center" shrinkToFit="1"/>
    </xf>
    <xf numFmtId="0" fontId="10" fillId="7" borderId="3" xfId="0" applyFont="1" applyFill="1" applyBorder="1" applyAlignment="1" applyProtection="1">
      <alignment horizontal="left" vertical="center" shrinkToFit="1"/>
    </xf>
    <xf numFmtId="0" fontId="10" fillId="7" borderId="4" xfId="0" applyFont="1" applyFill="1" applyBorder="1" applyAlignment="1" applyProtection="1">
      <alignment horizontal="left" vertical="center" shrinkToFit="1"/>
    </xf>
    <xf numFmtId="0" fontId="10" fillId="7" borderId="5" xfId="0" applyFont="1" applyFill="1" applyBorder="1" applyAlignment="1" applyProtection="1">
      <alignment horizontal="left" vertical="center" shrinkToFit="1"/>
    </xf>
    <xf numFmtId="0" fontId="10" fillId="0" borderId="0" xfId="5" applyFont="1"/>
    <xf numFmtId="0" fontId="10" fillId="0" borderId="0" xfId="5" applyFont="1" applyAlignment="1">
      <alignment horizontal="center"/>
    </xf>
    <xf numFmtId="165" fontId="10" fillId="0" borderId="0" xfId="5" applyNumberFormat="1" applyFont="1" applyAlignment="1">
      <alignment horizontal="center"/>
    </xf>
    <xf numFmtId="0" fontId="14" fillId="0" borderId="0" xfId="0" applyFont="1" applyAlignment="1" applyProtection="1">
      <alignment horizontal="right" vertical="center" shrinkToFit="1"/>
    </xf>
    <xf numFmtId="0" fontId="15" fillId="0" borderId="0" xfId="0" applyFont="1" applyAlignment="1" applyProtection="1">
      <alignment horizontal="right" shrinkToFit="1"/>
    </xf>
    <xf numFmtId="0" fontId="20" fillId="0" borderId="0" xfId="0" applyFont="1" applyAlignment="1" applyProtection="1">
      <alignment horizontal="right" vertical="center" shrinkToFit="1"/>
    </xf>
    <xf numFmtId="0" fontId="36" fillId="2" borderId="0" xfId="0" applyFont="1" applyFill="1" applyBorder="1" applyAlignment="1" applyProtection="1">
      <alignment horizontal="left" vertical="center" shrinkToFit="1"/>
      <protection locked="0"/>
    </xf>
    <xf numFmtId="0" fontId="15" fillId="2" borderId="0" xfId="0" applyFont="1" applyFill="1" applyAlignment="1" applyProtection="1">
      <alignment horizontal="right" vertical="center" shrinkToFit="1"/>
    </xf>
    <xf numFmtId="0" fontId="6" fillId="0" borderId="0" xfId="0" applyFont="1" applyAlignment="1" applyProtection="1">
      <alignment horizontal="right" vertical="center" shrinkToFit="1"/>
    </xf>
    <xf numFmtId="0" fontId="15" fillId="0" borderId="0" xfId="0" applyFont="1" applyFill="1" applyAlignment="1" applyProtection="1">
      <alignment horizontal="right" vertical="center" shrinkToFit="1"/>
    </xf>
    <xf numFmtId="1" fontId="47" fillId="9" borderId="0" xfId="0" applyNumberFormat="1" applyFont="1" applyFill="1" applyBorder="1" applyAlignment="1" applyProtection="1">
      <alignment horizontal="right" vertical="center" shrinkToFit="1"/>
    </xf>
    <xf numFmtId="169" fontId="15" fillId="10" borderId="0" xfId="0" applyNumberFormat="1" applyFont="1" applyFill="1" applyAlignment="1" applyProtection="1">
      <alignment horizontal="right" vertical="center" shrinkToFit="1"/>
    </xf>
    <xf numFmtId="177" fontId="16" fillId="10" borderId="0" xfId="0" applyNumberFormat="1" applyFont="1" applyFill="1" applyAlignment="1" applyProtection="1">
      <alignment horizontal="right" vertical="center" shrinkToFit="1"/>
    </xf>
    <xf numFmtId="169" fontId="16" fillId="10" borderId="0" xfId="0" applyNumberFormat="1" applyFont="1" applyFill="1" applyAlignment="1" applyProtection="1">
      <alignment horizontal="right" vertical="center" shrinkToFit="1"/>
    </xf>
    <xf numFmtId="0" fontId="16" fillId="0" borderId="0" xfId="0" applyFont="1" applyAlignment="1" applyProtection="1">
      <alignment horizontal="right" vertical="center" shrinkToFit="1"/>
    </xf>
    <xf numFmtId="0" fontId="15" fillId="2" borderId="0" xfId="0" applyFont="1" applyFill="1" applyAlignment="1" applyProtection="1">
      <alignment horizontal="right" vertical="center" shrinkToFit="1"/>
      <protection locked="0"/>
    </xf>
    <xf numFmtId="0" fontId="47" fillId="0" borderId="0" xfId="0" applyFont="1" applyAlignment="1" applyProtection="1">
      <alignment horizontal="right" vertical="center" shrinkToFit="1"/>
    </xf>
    <xf numFmtId="179" fontId="20" fillId="0" borderId="0" xfId="0" applyNumberFormat="1" applyFont="1" applyAlignment="1" applyProtection="1">
      <alignment horizontal="left" vertical="center" shrinkToFit="1"/>
    </xf>
    <xf numFmtId="175" fontId="10" fillId="7" borderId="0" xfId="0" applyNumberFormat="1" applyFont="1" applyFill="1" applyBorder="1" applyAlignment="1" applyProtection="1">
      <alignment vertical="center" shrinkToFit="1"/>
    </xf>
    <xf numFmtId="0" fontId="2" fillId="0" borderId="0" xfId="6" applyFont="1" applyFill="1" applyProtection="1"/>
    <xf numFmtId="0" fontId="35" fillId="0" borderId="0" xfId="6" applyFont="1" applyFill="1" applyProtection="1"/>
    <xf numFmtId="0" fontId="53" fillId="0" borderId="0" xfId="6" applyFont="1" applyFill="1" applyProtection="1"/>
    <xf numFmtId="0" fontId="4" fillId="0" borderId="0" xfId="6" applyFont="1" applyFill="1" applyProtection="1"/>
    <xf numFmtId="3" fontId="3" fillId="0" borderId="0" xfId="6" applyNumberFormat="1" applyFont="1" applyFill="1" applyAlignment="1" applyProtection="1">
      <alignment horizontal="center"/>
    </xf>
    <xf numFmtId="2" fontId="50" fillId="12" borderId="6" xfId="7" applyNumberFormat="1" applyFont="1" applyFill="1" applyBorder="1" applyAlignment="1"/>
    <xf numFmtId="2" fontId="50" fillId="0" borderId="6" xfId="7" applyNumberFormat="1" applyFont="1" applyBorder="1" applyAlignment="1"/>
    <xf numFmtId="0" fontId="50" fillId="12" borderId="6" xfId="7" applyNumberFormat="1" applyFont="1" applyFill="1" applyBorder="1" applyAlignment="1"/>
    <xf numFmtId="3" fontId="50" fillId="12" borderId="6" xfId="7" applyNumberFormat="1" applyFont="1" applyFill="1" applyBorder="1" applyAlignment="1">
      <alignment horizontal="center"/>
    </xf>
    <xf numFmtId="173" fontId="50" fillId="12" borderId="6" xfId="7" applyNumberFormat="1" applyFont="1" applyFill="1" applyBorder="1" applyAlignment="1"/>
    <xf numFmtId="0" fontId="50" fillId="0" borderId="6" xfId="7" applyNumberFormat="1" applyFont="1" applyBorder="1" applyAlignment="1"/>
    <xf numFmtId="3" fontId="50" fillId="0" borderId="6" xfId="7" applyNumberFormat="1" applyFont="1" applyBorder="1" applyAlignment="1">
      <alignment horizontal="center"/>
    </xf>
    <xf numFmtId="173" fontId="50" fillId="0" borderId="6" xfId="7" applyNumberFormat="1" applyFont="1" applyBorder="1" applyAlignment="1"/>
    <xf numFmtId="0" fontId="2" fillId="0" borderId="6" xfId="4" applyFont="1" applyFill="1" applyBorder="1" applyAlignment="1"/>
    <xf numFmtId="0" fontId="2" fillId="0" borderId="6" xfId="7" applyNumberFormat="1" applyFont="1" applyBorder="1" applyAlignment="1"/>
    <xf numFmtId="49" fontId="51" fillId="11" borderId="7" xfId="0" applyNumberFormat="1" applyFont="1" applyFill="1" applyBorder="1" applyAlignment="1"/>
    <xf numFmtId="49" fontId="51" fillId="11" borderId="7" xfId="0" applyNumberFormat="1" applyFont="1" applyFill="1" applyBorder="1" applyAlignment="1">
      <alignment wrapText="1"/>
    </xf>
    <xf numFmtId="3" fontId="2" fillId="0" borderId="6" xfId="4" applyNumberFormat="1" applyFont="1" applyFill="1" applyBorder="1" applyAlignment="1">
      <alignment horizontal="center"/>
    </xf>
    <xf numFmtId="2" fontId="2" fillId="0" borderId="6" xfId="4" applyNumberFormat="1" applyFont="1" applyFill="1" applyBorder="1"/>
    <xf numFmtId="0" fontId="54" fillId="0" borderId="0" xfId="0" applyFont="1" applyAlignment="1" applyProtection="1">
      <alignment horizontal="right" vertical="center" shrinkToFit="1"/>
    </xf>
    <xf numFmtId="3" fontId="50" fillId="0" borderId="6" xfId="6" applyNumberFormat="1" applyFont="1" applyFill="1" applyBorder="1" applyAlignment="1">
      <alignment horizontal="center"/>
    </xf>
    <xf numFmtId="2" fontId="35" fillId="0" borderId="6" xfId="6" applyNumberFormat="1" applyFont="1" applyFill="1" applyBorder="1" applyAlignment="1">
      <alignment horizontal="right"/>
    </xf>
    <xf numFmtId="2" fontId="50" fillId="0" borderId="6" xfId="6" applyNumberFormat="1" applyFont="1" applyFill="1" applyBorder="1" applyAlignment="1">
      <alignment horizontal="right"/>
    </xf>
    <xf numFmtId="1" fontId="55" fillId="0" borderId="0" xfId="0" applyNumberFormat="1" applyFont="1" applyFill="1" applyAlignment="1" applyProtection="1">
      <alignment horizontal="left" vertical="center" shrinkToFit="1"/>
    </xf>
    <xf numFmtId="0" fontId="58" fillId="0" borderId="0" xfId="0" applyFont="1" applyFill="1" applyBorder="1" applyAlignment="1" applyProtection="1">
      <alignment horizontal="center" vertical="center" shrinkToFit="1"/>
    </xf>
    <xf numFmtId="0" fontId="12" fillId="0" borderId="0" xfId="5" applyFont="1" applyFill="1" applyAlignment="1">
      <alignment horizontal="left"/>
    </xf>
    <xf numFmtId="0" fontId="10" fillId="0" borderId="0" xfId="5" applyFont="1" applyFill="1" applyAlignment="1">
      <alignment horizontal="left"/>
    </xf>
    <xf numFmtId="0" fontId="61" fillId="13" borderId="9" xfId="0" applyFont="1" applyFill="1" applyBorder="1" applyAlignment="1" applyProtection="1">
      <alignment horizontal="center" vertical="center" shrinkToFit="1"/>
    </xf>
    <xf numFmtId="0" fontId="7" fillId="0" borderId="8" xfId="0" applyFont="1" applyFill="1" applyBorder="1" applyAlignment="1" applyProtection="1">
      <alignment vertical="center" shrinkToFit="1"/>
      <protection locked="0"/>
    </xf>
    <xf numFmtId="0" fontId="2" fillId="0" borderId="0" xfId="0" applyFont="1" applyFill="1" applyBorder="1" applyAlignment="1">
      <alignment shrinkToFit="1"/>
    </xf>
    <xf numFmtId="165" fontId="7" fillId="0" borderId="10" xfId="0" applyNumberFormat="1" applyFont="1" applyFill="1" applyBorder="1" applyAlignment="1" applyProtection="1">
      <alignment horizontal="right" vertical="center" shrinkToFit="1"/>
      <protection locked="0"/>
    </xf>
    <xf numFmtId="0" fontId="62" fillId="0" borderId="0" xfId="0" applyFont="1" applyFill="1" applyBorder="1" applyAlignment="1" applyProtection="1">
      <alignment horizontal="left" vertical="center" shrinkToFit="1"/>
    </xf>
    <xf numFmtId="165" fontId="62" fillId="0" borderId="0" xfId="0" applyNumberFormat="1" applyFont="1" applyFill="1" applyBorder="1" applyAlignment="1" applyProtection="1">
      <alignment horizontal="left" vertical="center" shrinkToFit="1"/>
    </xf>
    <xf numFmtId="0" fontId="2" fillId="0" borderId="0" xfId="0" applyFont="1" applyFill="1" applyBorder="1" applyAlignment="1">
      <alignment horizontal="left" shrinkToFit="1"/>
    </xf>
    <xf numFmtId="169" fontId="0" fillId="6" borderId="0" xfId="0" applyNumberFormat="1" applyFont="1" applyFill="1" applyAlignment="1" applyProtection="1">
      <alignment horizontal="right" vertical="center" shrinkToFit="1"/>
    </xf>
    <xf numFmtId="0" fontId="13" fillId="0" borderId="0" xfId="5" applyFont="1" applyFill="1" applyAlignment="1">
      <alignment horizontal="left"/>
    </xf>
    <xf numFmtId="175" fontId="10" fillId="0" borderId="0" xfId="0" applyNumberFormat="1" applyFont="1" applyFill="1" applyBorder="1" applyAlignment="1" applyProtection="1">
      <alignment vertical="center" shrinkToFit="1"/>
    </xf>
    <xf numFmtId="169" fontId="15" fillId="0" borderId="0" xfId="0" applyNumberFormat="1" applyFont="1" applyFill="1" applyAlignment="1" applyProtection="1">
      <alignment horizontal="right" vertical="center" shrinkToFit="1"/>
    </xf>
    <xf numFmtId="0" fontId="16" fillId="0" borderId="0" xfId="0" applyFont="1" applyAlignment="1" applyProtection="1">
      <alignment horizontal="left" shrinkToFit="1"/>
    </xf>
    <xf numFmtId="0" fontId="15" fillId="0" borderId="0" xfId="0" applyFont="1" applyBorder="1" applyAlignment="1" applyProtection="1">
      <alignment vertical="center" shrinkToFit="1"/>
    </xf>
    <xf numFmtId="0" fontId="20" fillId="0" borderId="0" xfId="0" applyFont="1" applyAlignment="1" applyProtection="1">
      <alignment horizontal="left" vertical="center" shrinkToFit="1"/>
    </xf>
    <xf numFmtId="1" fontId="36" fillId="2" borderId="0" xfId="0" applyNumberFormat="1" applyFont="1" applyFill="1" applyBorder="1" applyAlignment="1" applyProtection="1">
      <alignment horizontal="left" vertical="center" indent="1" shrinkToFit="1"/>
      <protection locked="0"/>
    </xf>
    <xf numFmtId="0" fontId="16" fillId="0" borderId="0" xfId="1" applyFont="1" applyFill="1" applyBorder="1" applyAlignment="1" applyProtection="1">
      <alignment horizontal="left" vertical="center" shrinkToFit="1"/>
    </xf>
    <xf numFmtId="0" fontId="31" fillId="0" borderId="0" xfId="2" applyFont="1" applyFill="1" applyAlignment="1" applyProtection="1">
      <alignment horizontal="left" vertical="center" shrinkToFit="1"/>
    </xf>
    <xf numFmtId="0" fontId="10" fillId="0" borderId="0" xfId="0" applyFont="1" applyFill="1" applyAlignment="1" applyProtection="1">
      <alignment horizontal="left" vertical="center" shrinkToFit="1"/>
    </xf>
    <xf numFmtId="0" fontId="29" fillId="0" borderId="0" xfId="0" applyFont="1" applyAlignment="1" applyProtection="1">
      <alignment vertical="center" shrinkToFit="1"/>
    </xf>
    <xf numFmtId="0" fontId="36" fillId="2" borderId="0" xfId="0" applyFont="1" applyFill="1" applyBorder="1" applyAlignment="1" applyProtection="1">
      <alignment horizontal="left" vertical="center" indent="1" shrinkToFit="1"/>
      <protection locked="0"/>
    </xf>
    <xf numFmtId="0" fontId="15" fillId="0" borderId="0" xfId="0" applyFont="1" applyBorder="1" applyAlignment="1" applyProtection="1">
      <alignment horizontal="left" vertical="center" shrinkToFit="1"/>
    </xf>
    <xf numFmtId="0" fontId="16" fillId="0" borderId="0" xfId="1" applyFont="1" applyFill="1" applyBorder="1" applyAlignment="1" applyProtection="1">
      <alignment horizontal="left" shrinkToFit="1"/>
    </xf>
    <xf numFmtId="174" fontId="20" fillId="0" borderId="0" xfId="0" applyNumberFormat="1" applyFont="1" applyAlignment="1" applyProtection="1">
      <alignment horizontal="left" vertical="center" shrinkToFit="1"/>
    </xf>
    <xf numFmtId="0" fontId="13" fillId="0" borderId="0" xfId="0" applyFont="1" applyAlignment="1" applyProtection="1">
      <alignment horizontal="center" vertical="center" shrinkToFit="1"/>
    </xf>
    <xf numFmtId="176" fontId="12" fillId="0" borderId="0" xfId="0" applyNumberFormat="1" applyFont="1" applyFill="1" applyAlignment="1" applyProtection="1">
      <alignment horizontal="left" vertical="center" shrinkToFit="1"/>
    </xf>
    <xf numFmtId="0" fontId="16" fillId="0" borderId="0" xfId="0" applyFont="1" applyBorder="1" applyAlignment="1" applyProtection="1">
      <alignment horizontal="left" vertical="center" shrinkToFit="1"/>
    </xf>
    <xf numFmtId="0" fontId="5" fillId="0" borderId="0" xfId="0" applyFont="1" applyFill="1" applyAlignment="1" applyProtection="1">
      <alignment horizontal="left" vertical="center" shrinkToFit="1"/>
    </xf>
    <xf numFmtId="0" fontId="36" fillId="0" borderId="0" xfId="0" applyFont="1" applyFill="1" applyBorder="1" applyAlignment="1" applyProtection="1">
      <alignment horizontal="left" vertical="center" shrinkToFit="1"/>
    </xf>
    <xf numFmtId="0" fontId="20" fillId="0" borderId="0" xfId="0" applyFont="1" applyFill="1" applyAlignment="1" applyProtection="1">
      <alignment horizontal="left" vertical="center" shrinkToFit="1"/>
    </xf>
    <xf numFmtId="0" fontId="20" fillId="0" borderId="0" xfId="0" applyFont="1" applyFill="1" applyAlignment="1" applyProtection="1">
      <alignment horizontal="center" vertical="center" shrinkToFit="1"/>
    </xf>
    <xf numFmtId="0" fontId="14" fillId="0" borderId="0" xfId="0" applyFont="1" applyFill="1" applyAlignment="1" applyProtection="1">
      <alignment horizontal="center" vertical="center" shrinkToFit="1"/>
    </xf>
    <xf numFmtId="169" fontId="16" fillId="0" borderId="0" xfId="0" applyNumberFormat="1" applyFont="1" applyFill="1" applyAlignment="1" applyProtection="1">
      <alignment horizontal="right" vertical="center" shrinkToFit="1"/>
    </xf>
    <xf numFmtId="176" fontId="59" fillId="0" borderId="0" xfId="0" applyNumberFormat="1" applyFont="1" applyFill="1" applyAlignment="1" applyProtection="1">
      <alignment horizontal="left" vertical="center" shrinkToFit="1"/>
    </xf>
    <xf numFmtId="0" fontId="36" fillId="2" borderId="0" xfId="0" applyFont="1" applyFill="1" applyBorder="1" applyAlignment="1" applyProtection="1">
      <alignment horizontal="left" vertical="center" indent="1" shrinkToFit="1"/>
    </xf>
    <xf numFmtId="0" fontId="15" fillId="0" borderId="0" xfId="0" applyFont="1" applyBorder="1" applyAlignment="1" applyProtection="1">
      <alignment vertical="center" shrinkToFit="1"/>
    </xf>
    <xf numFmtId="0" fontId="20" fillId="0" borderId="0" xfId="0" applyFont="1" applyAlignment="1" applyProtection="1">
      <alignment horizontal="left" vertical="center" shrinkToFit="1"/>
    </xf>
    <xf numFmtId="0" fontId="16" fillId="0" borderId="0" xfId="1" applyFont="1" applyFill="1" applyBorder="1" applyAlignment="1" applyProtection="1">
      <alignment horizontal="left" vertical="center" shrinkToFit="1"/>
    </xf>
    <xf numFmtId="0" fontId="31" fillId="0" borderId="0" xfId="2" applyFont="1" applyFill="1" applyAlignment="1" applyProtection="1">
      <alignment horizontal="left" vertical="center" shrinkToFit="1"/>
    </xf>
    <xf numFmtId="0" fontId="10" fillId="0" borderId="0" xfId="0" applyFont="1" applyFill="1" applyAlignment="1" applyProtection="1">
      <alignment horizontal="left" vertical="center" shrinkToFit="1"/>
    </xf>
    <xf numFmtId="0" fontId="29" fillId="0" borderId="0" xfId="0" applyFont="1" applyAlignment="1" applyProtection="1">
      <alignment vertical="center" shrinkToFit="1"/>
    </xf>
    <xf numFmtId="0" fontId="15" fillId="0" borderId="0" xfId="0" applyFont="1" applyBorder="1" applyAlignment="1" applyProtection="1">
      <alignment horizontal="left" vertical="center" shrinkToFit="1"/>
    </xf>
    <xf numFmtId="0" fontId="16" fillId="0" borderId="0" xfId="1" applyFont="1" applyFill="1" applyBorder="1" applyAlignment="1" applyProtection="1">
      <alignment horizontal="left" shrinkToFit="1"/>
    </xf>
    <xf numFmtId="174" fontId="20" fillId="0" borderId="0" xfId="0" applyNumberFormat="1" applyFont="1" applyAlignment="1" applyProtection="1">
      <alignment horizontal="left" vertical="center" shrinkToFit="1"/>
    </xf>
    <xf numFmtId="176" fontId="12" fillId="0" borderId="0" xfId="0" applyNumberFormat="1" applyFont="1" applyFill="1" applyAlignment="1" applyProtection="1">
      <alignment horizontal="left" vertical="center" shrinkToFit="1"/>
    </xf>
    <xf numFmtId="167" fontId="36" fillId="2" borderId="0" xfId="0" applyNumberFormat="1" applyFont="1" applyFill="1" applyBorder="1" applyAlignment="1" applyProtection="1">
      <alignment horizontal="left" vertical="center" indent="1" shrinkToFit="1"/>
    </xf>
    <xf numFmtId="1" fontId="36" fillId="2" borderId="0" xfId="0" applyNumberFormat="1" applyFont="1" applyFill="1" applyBorder="1" applyAlignment="1" applyProtection="1">
      <alignment horizontal="left" vertical="center" shrinkToFit="1"/>
    </xf>
    <xf numFmtId="0" fontId="67" fillId="0" borderId="1" xfId="0" applyFont="1" applyFill="1" applyBorder="1" applyAlignment="1" applyProtection="1">
      <alignment vertical="center" shrinkToFit="1"/>
    </xf>
    <xf numFmtId="1" fontId="12" fillId="0" borderId="0" xfId="5" applyNumberFormat="1" applyFont="1" applyFill="1" applyAlignment="1">
      <alignment horizontal="left"/>
    </xf>
    <xf numFmtId="1" fontId="10" fillId="0" borderId="0" xfId="5" applyNumberFormat="1" applyFont="1" applyFill="1" applyAlignment="1">
      <alignment horizontal="left"/>
    </xf>
    <xf numFmtId="1" fontId="13" fillId="0" borderId="0" xfId="5" applyNumberFormat="1" applyFont="1" applyFill="1" applyAlignment="1">
      <alignment horizontal="left"/>
    </xf>
    <xf numFmtId="182" fontId="10" fillId="7" borderId="0" xfId="0" applyNumberFormat="1" applyFont="1" applyFill="1" applyAlignment="1" applyProtection="1">
      <alignment horizontal="left" vertical="center" shrinkToFit="1"/>
    </xf>
    <xf numFmtId="181" fontId="36" fillId="0" borderId="0" xfId="0" applyNumberFormat="1" applyFont="1" applyFill="1" applyBorder="1" applyAlignment="1" applyProtection="1">
      <alignment horizontal="left" vertical="center" indent="1" shrinkToFit="1"/>
    </xf>
    <xf numFmtId="14" fontId="29" fillId="0" borderId="0" xfId="0" applyNumberFormat="1" applyFont="1" applyAlignment="1" applyProtection="1">
      <alignment horizontal="left" vertical="center" shrinkToFit="1"/>
    </xf>
    <xf numFmtId="183" fontId="29" fillId="0" borderId="0" xfId="0" applyNumberFormat="1" applyFont="1" applyAlignment="1" applyProtection="1">
      <alignment horizontal="left" vertical="center" shrinkToFit="1"/>
    </xf>
    <xf numFmtId="0" fontId="29" fillId="0" borderId="0" xfId="0" applyFont="1" applyAlignment="1" applyProtection="1">
      <alignment horizontal="right" vertical="center" shrinkToFit="1"/>
    </xf>
    <xf numFmtId="165" fontId="62" fillId="0" borderId="0" xfId="0" applyNumberFormat="1" applyFont="1" applyFill="1" applyBorder="1" applyAlignment="1" applyProtection="1">
      <alignment horizontal="center" vertical="center" wrapText="1" shrinkToFit="1"/>
    </xf>
    <xf numFmtId="165" fontId="62" fillId="0" borderId="0" xfId="0" applyNumberFormat="1" applyFont="1" applyFill="1" applyBorder="1" applyAlignment="1" applyProtection="1">
      <alignment horizontal="center" vertical="center" shrinkToFit="1"/>
    </xf>
    <xf numFmtId="165" fontId="7" fillId="0" borderId="10" xfId="0" applyNumberFormat="1" applyFont="1" applyFill="1" applyBorder="1" applyAlignment="1" applyProtection="1">
      <alignment horizontal="center" vertical="center" shrinkToFit="1"/>
      <protection locked="0"/>
    </xf>
    <xf numFmtId="165" fontId="7" fillId="0" borderId="2" xfId="0" applyNumberFormat="1" applyFont="1" applyFill="1" applyBorder="1" applyAlignment="1" applyProtection="1">
      <alignment horizontal="center" vertical="center" shrinkToFit="1"/>
      <protection locked="0"/>
    </xf>
    <xf numFmtId="165" fontId="7" fillId="0" borderId="1" xfId="0" applyNumberFormat="1" applyFont="1" applyFill="1" applyBorder="1" applyAlignment="1" applyProtection="1">
      <alignment horizontal="center" vertical="center" shrinkToFit="1"/>
    </xf>
    <xf numFmtId="0" fontId="2" fillId="0" borderId="0" xfId="0" applyFont="1" applyAlignment="1">
      <alignment horizontal="center" shrinkToFit="1"/>
    </xf>
    <xf numFmtId="0" fontId="0" fillId="0" borderId="0" xfId="0" applyAlignment="1">
      <alignment horizontal="center" shrinkToFit="1"/>
    </xf>
    <xf numFmtId="165" fontId="0" fillId="0" borderId="0" xfId="0" applyNumberFormat="1" applyAlignment="1">
      <alignment horizontal="center" shrinkToFit="1"/>
    </xf>
    <xf numFmtId="0" fontId="2" fillId="0" borderId="0" xfId="0" applyFont="1" applyAlignment="1" applyProtection="1">
      <alignment horizontal="center" shrinkToFit="1"/>
      <protection locked="0"/>
    </xf>
    <xf numFmtId="165" fontId="67" fillId="0" borderId="1" xfId="0" applyNumberFormat="1" applyFont="1" applyFill="1" applyBorder="1" applyAlignment="1" applyProtection="1">
      <alignment horizontal="center" vertical="center" shrinkToFit="1"/>
    </xf>
    <xf numFmtId="165" fontId="61" fillId="13" borderId="0" xfId="0" applyNumberFormat="1" applyFont="1" applyFill="1" applyBorder="1" applyAlignment="1" applyProtection="1">
      <alignment horizontal="center" vertical="center" wrapText="1" shrinkToFit="1"/>
    </xf>
    <xf numFmtId="165" fontId="61" fillId="13" borderId="0" xfId="0" applyNumberFormat="1" applyFont="1" applyFill="1" applyBorder="1" applyAlignment="1" applyProtection="1">
      <alignment horizontal="center" vertical="center" shrinkToFit="1"/>
    </xf>
    <xf numFmtId="0" fontId="16" fillId="0" borderId="0" xfId="1" applyFont="1" applyFill="1" applyBorder="1" applyAlignment="1" applyProtection="1">
      <alignment horizontal="left" vertical="center" shrinkToFit="1"/>
    </xf>
    <xf numFmtId="0" fontId="31" fillId="0" borderId="0" xfId="2" applyFont="1" applyFill="1" applyAlignment="1" applyProtection="1">
      <alignment horizontal="left" vertical="center" shrinkToFit="1"/>
    </xf>
    <xf numFmtId="0" fontId="10" fillId="0" borderId="0" xfId="0" applyFont="1" applyFill="1" applyAlignment="1" applyProtection="1">
      <alignment horizontal="left" vertical="center" shrinkToFit="1"/>
    </xf>
    <xf numFmtId="0" fontId="29" fillId="0" borderId="0" xfId="0" applyFont="1" applyAlignment="1" applyProtection="1">
      <alignment vertical="center" shrinkToFit="1"/>
    </xf>
    <xf numFmtId="0" fontId="20" fillId="0" borderId="0" xfId="0" applyFont="1" applyAlignment="1" applyProtection="1">
      <alignment horizontal="left" vertical="center" shrinkToFit="1"/>
    </xf>
    <xf numFmtId="0" fontId="16" fillId="0" borderId="0" xfId="1" applyFont="1" applyFill="1" applyBorder="1" applyAlignment="1" applyProtection="1">
      <alignment horizontal="left" shrinkToFit="1"/>
    </xf>
    <xf numFmtId="176" fontId="12" fillId="0" borderId="0" xfId="0" applyNumberFormat="1" applyFont="1" applyFill="1" applyAlignment="1" applyProtection="1">
      <alignment horizontal="left" vertical="center" shrinkToFit="1"/>
    </xf>
    <xf numFmtId="1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" fontId="15" fillId="0" borderId="0" xfId="0" applyNumberFormat="1" applyFont="1" applyAlignment="1" applyProtection="1">
      <alignment horizontal="center" vertical="center" shrinkToFit="1"/>
    </xf>
    <xf numFmtId="165" fontId="36" fillId="2" borderId="3" xfId="0" applyNumberFormat="1" applyFont="1" applyFill="1" applyBorder="1" applyAlignment="1" applyProtection="1">
      <alignment horizontal="left" vertical="center" indent="1" shrinkToFit="1"/>
      <protection locked="0"/>
    </xf>
    <xf numFmtId="165" fontId="36" fillId="2" borderId="4" xfId="0" applyNumberFormat="1" applyFont="1" applyFill="1" applyBorder="1" applyAlignment="1" applyProtection="1">
      <alignment horizontal="left" vertical="center" indent="1" shrinkToFit="1"/>
      <protection locked="0"/>
    </xf>
    <xf numFmtId="165" fontId="36" fillId="2" borderId="5" xfId="0" applyNumberFormat="1" applyFont="1" applyFill="1" applyBorder="1" applyAlignment="1" applyProtection="1">
      <alignment horizontal="left" vertical="center" indent="1" shrinkToFit="1"/>
      <protection locked="0"/>
    </xf>
    <xf numFmtId="165" fontId="36" fillId="2" borderId="0" xfId="0" applyNumberFormat="1" applyFont="1" applyFill="1" applyBorder="1" applyAlignment="1" applyProtection="1">
      <alignment horizontal="left" vertical="center" indent="1" shrinkToFit="1"/>
      <protection locked="0"/>
    </xf>
    <xf numFmtId="0" fontId="62" fillId="0" borderId="0" xfId="0" applyFont="1" applyFill="1" applyBorder="1" applyAlignment="1" applyProtection="1">
      <alignment horizontal="left" wrapText="1" shrinkToFit="1"/>
    </xf>
    <xf numFmtId="0" fontId="62" fillId="0" borderId="0" xfId="0" applyFont="1" applyFill="1" applyBorder="1" applyAlignment="1" applyProtection="1">
      <alignment horizontal="left" shrinkToFit="1"/>
    </xf>
    <xf numFmtId="0" fontId="40" fillId="0" borderId="2" xfId="0" applyFont="1" applyFill="1" applyBorder="1" applyAlignment="1" applyProtection="1">
      <alignment vertical="center" shrinkToFit="1"/>
      <protection locked="0"/>
    </xf>
    <xf numFmtId="2" fontId="36" fillId="2" borderId="0" xfId="0" applyNumberFormat="1" applyFont="1" applyFill="1" applyBorder="1" applyAlignment="1" applyProtection="1">
      <alignment horizontal="left" vertical="center" shrinkToFit="1"/>
    </xf>
    <xf numFmtId="186" fontId="20" fillId="0" borderId="0" xfId="0" applyNumberFormat="1" applyFont="1" applyFill="1" applyAlignment="1" applyProtection="1">
      <alignment horizontal="left" vertical="center" shrinkToFit="1"/>
    </xf>
    <xf numFmtId="2" fontId="10" fillId="7" borderId="0" xfId="0" applyNumberFormat="1" applyFont="1" applyFill="1" applyBorder="1" applyAlignment="1" applyProtection="1">
      <alignment horizontal="left" vertical="center" shrinkToFit="1"/>
    </xf>
    <xf numFmtId="49" fontId="10" fillId="14" borderId="0" xfId="0" applyNumberFormat="1" applyFont="1" applyFill="1" applyAlignment="1" applyProtection="1">
      <alignment horizontal="right" vertical="center" shrinkToFit="1"/>
    </xf>
    <xf numFmtId="1" fontId="10" fillId="7" borderId="0" xfId="0" applyNumberFormat="1" applyFont="1" applyFill="1" applyAlignment="1" applyProtection="1">
      <alignment horizontal="center" vertical="center" shrinkToFit="1"/>
    </xf>
    <xf numFmtId="1" fontId="10" fillId="0" borderId="0" xfId="0" applyNumberFormat="1" applyFont="1" applyFill="1" applyAlignment="1" applyProtection="1">
      <alignment horizontal="center" vertical="center" shrinkToFit="1"/>
    </xf>
    <xf numFmtId="0" fontId="33" fillId="0" borderId="0" xfId="0" applyFont="1" applyFill="1" applyBorder="1" applyAlignment="1" applyProtection="1">
      <alignment horizontal="right" vertical="center" shrinkToFit="1"/>
    </xf>
    <xf numFmtId="0" fontId="15" fillId="0" borderId="0" xfId="0" applyFont="1" applyBorder="1" applyAlignment="1" applyProtection="1">
      <alignment vertical="center" shrinkToFit="1"/>
    </xf>
    <xf numFmtId="0" fontId="36" fillId="2" borderId="0" xfId="0" applyFont="1" applyFill="1" applyBorder="1" applyAlignment="1" applyProtection="1">
      <alignment horizontal="left" vertical="center" indent="1" shrinkToFit="1"/>
      <protection locked="0"/>
    </xf>
    <xf numFmtId="0" fontId="15" fillId="0" borderId="0" xfId="0" applyFont="1" applyBorder="1" applyAlignment="1" applyProtection="1">
      <alignment horizontal="left" vertical="center" shrinkToFit="1"/>
    </xf>
    <xf numFmtId="0" fontId="16" fillId="0" borderId="0" xfId="1" applyFont="1" applyFill="1" applyBorder="1" applyAlignment="1" applyProtection="1">
      <alignment horizontal="left" vertical="center" shrinkToFit="1"/>
    </xf>
    <xf numFmtId="0" fontId="10" fillId="0" borderId="0" xfId="0" applyFont="1" applyFill="1" applyAlignment="1" applyProtection="1">
      <alignment horizontal="left" vertical="center" shrinkToFit="1"/>
    </xf>
    <xf numFmtId="0" fontId="29" fillId="0" borderId="0" xfId="0" applyFont="1" applyAlignment="1" applyProtection="1">
      <alignment vertical="center" shrinkToFit="1"/>
    </xf>
    <xf numFmtId="2" fontId="36" fillId="2" borderId="0" xfId="0" applyNumberFormat="1" applyFont="1" applyFill="1" applyBorder="1" applyAlignment="1" applyProtection="1">
      <alignment horizontal="left" vertical="center" indent="1" shrinkToFit="1"/>
      <protection locked="0"/>
    </xf>
    <xf numFmtId="0" fontId="6" fillId="5" borderId="0" xfId="0" applyFont="1" applyFill="1" applyBorder="1" applyAlignment="1" applyProtection="1">
      <alignment horizontal="right" vertical="center" shrinkToFit="1"/>
    </xf>
    <xf numFmtId="0" fontId="20" fillId="0" borderId="0" xfId="0" applyFont="1" applyAlignment="1" applyProtection="1">
      <alignment horizontal="left" vertical="center" shrinkToFit="1"/>
    </xf>
    <xf numFmtId="0" fontId="16" fillId="0" borderId="0" xfId="1" applyFont="1" applyFill="1" applyBorder="1" applyAlignment="1" applyProtection="1">
      <alignment horizontal="left" shrinkToFit="1"/>
    </xf>
    <xf numFmtId="0" fontId="28" fillId="0" borderId="0" xfId="0" applyFont="1" applyAlignment="1" applyProtection="1">
      <alignment horizontal="left" shrinkToFit="1"/>
    </xf>
    <xf numFmtId="0" fontId="16" fillId="0" borderId="0" xfId="0" applyFont="1" applyBorder="1" applyAlignment="1" applyProtection="1">
      <alignment horizontal="left" vertical="center" shrinkToFit="1"/>
    </xf>
    <xf numFmtId="0" fontId="31" fillId="0" borderId="0" xfId="2" applyFont="1" applyFill="1" applyAlignment="1" applyProtection="1">
      <alignment horizontal="left" shrinkToFit="1"/>
    </xf>
    <xf numFmtId="0" fontId="31" fillId="0" borderId="0" xfId="2" applyFont="1" applyFill="1" applyAlignment="1" applyProtection="1">
      <alignment horizontal="left" vertical="top" shrinkToFit="1"/>
    </xf>
    <xf numFmtId="0" fontId="13" fillId="0" borderId="0" xfId="0" applyFont="1" applyAlignment="1" applyProtection="1">
      <alignment horizontal="center" vertical="center" shrinkToFit="1"/>
    </xf>
    <xf numFmtId="2" fontId="10" fillId="0" borderId="0" xfId="5" applyNumberFormat="1" applyFont="1" applyFill="1" applyAlignment="1">
      <alignment horizontal="left"/>
    </xf>
    <xf numFmtId="2" fontId="13" fillId="0" borderId="0" xfId="5" applyNumberFormat="1" applyFont="1" applyFill="1" applyAlignment="1">
      <alignment horizontal="left"/>
    </xf>
    <xf numFmtId="169" fontId="16" fillId="5" borderId="0" xfId="0" applyNumberFormat="1" applyFont="1" applyFill="1" applyAlignment="1" applyProtection="1">
      <alignment horizontal="right" vertical="center" shrinkToFit="1"/>
    </xf>
    <xf numFmtId="192" fontId="15" fillId="0" borderId="0" xfId="0" applyNumberFormat="1" applyFont="1" applyAlignment="1" applyProtection="1">
      <alignment horizontal="right" vertical="top"/>
    </xf>
    <xf numFmtId="192" fontId="0" fillId="0" borderId="0" xfId="0" applyNumberFormat="1" applyAlignment="1">
      <alignment horizontal="right" vertical="top"/>
    </xf>
    <xf numFmtId="1" fontId="73" fillId="0" borderId="0" xfId="0" applyNumberFormat="1" applyFont="1" applyFill="1" applyBorder="1" applyAlignment="1" applyProtection="1">
      <alignment horizontal="right" vertical="top" shrinkToFit="1"/>
    </xf>
    <xf numFmtId="0" fontId="74" fillId="0" borderId="0" xfId="0" applyFont="1" applyFill="1" applyAlignment="1" applyProtection="1">
      <alignment horizontal="right" vertical="top" shrinkToFit="1"/>
    </xf>
    <xf numFmtId="1" fontId="77" fillId="0" borderId="11" xfId="0" applyNumberFormat="1" applyFont="1" applyFill="1" applyBorder="1" applyAlignment="1" applyProtection="1">
      <alignment horizontal="right" vertical="center" shrinkToFit="1"/>
    </xf>
    <xf numFmtId="1" fontId="78" fillId="0" borderId="13" xfId="0" applyNumberFormat="1" applyFont="1" applyFill="1" applyBorder="1" applyAlignment="1" applyProtection="1">
      <alignment horizontal="right" vertical="center" shrinkToFit="1"/>
    </xf>
    <xf numFmtId="0" fontId="82" fillId="0" borderId="0" xfId="0" applyFont="1" applyAlignment="1" applyProtection="1">
      <alignment horizontal="center" vertical="center" shrinkToFit="1"/>
    </xf>
    <xf numFmtId="0" fontId="20" fillId="0" borderId="0" xfId="0" applyFont="1" applyAlignment="1" applyProtection="1">
      <alignment horizontal="left" vertical="center" shrinkToFit="1"/>
    </xf>
    <xf numFmtId="0" fontId="16" fillId="0" borderId="0" xfId="0" applyFont="1" applyFill="1" applyBorder="1" applyAlignment="1" applyProtection="1">
      <alignment horizontal="left" vertical="center" shrinkToFit="1"/>
    </xf>
    <xf numFmtId="0" fontId="16" fillId="0" borderId="0" xfId="0" applyFont="1" applyBorder="1" applyAlignment="1" applyProtection="1">
      <alignment vertical="center" shrinkToFit="1"/>
    </xf>
    <xf numFmtId="0" fontId="36" fillId="2" borderId="0" xfId="0" applyFont="1" applyFill="1" applyBorder="1" applyAlignment="1" applyProtection="1">
      <alignment horizontal="left" vertical="center" indent="1" shrinkToFit="1"/>
      <protection locked="0"/>
    </xf>
    <xf numFmtId="0" fontId="15" fillId="0" borderId="0" xfId="0" applyFont="1" applyBorder="1" applyAlignment="1" applyProtection="1">
      <alignment horizontal="left" vertical="center" shrinkToFit="1"/>
    </xf>
    <xf numFmtId="0" fontId="16" fillId="0" borderId="0" xfId="1" applyFont="1" applyFill="1" applyBorder="1" applyAlignment="1" applyProtection="1">
      <alignment horizontal="left" shrinkToFit="1"/>
    </xf>
    <xf numFmtId="0" fontId="34" fillId="0" borderId="0" xfId="0" applyFont="1" applyBorder="1" applyAlignment="1" applyProtection="1">
      <alignment horizontal="left" vertical="center" shrinkToFit="1"/>
    </xf>
    <xf numFmtId="0" fontId="16" fillId="0" borderId="0" xfId="1" applyFont="1" applyFill="1" applyBorder="1" applyAlignment="1" applyProtection="1">
      <alignment horizontal="left" vertical="center" shrinkToFit="1"/>
    </xf>
    <xf numFmtId="0" fontId="10" fillId="0" borderId="0" xfId="0" applyFont="1" applyFill="1" applyAlignment="1" applyProtection="1">
      <alignment horizontal="left" vertical="center" shrinkToFit="1"/>
    </xf>
    <xf numFmtId="1" fontId="36" fillId="2" borderId="0" xfId="0" applyNumberFormat="1" applyFont="1" applyFill="1" applyBorder="1" applyAlignment="1" applyProtection="1">
      <alignment horizontal="left" vertical="center" indent="1" shrinkToFit="1"/>
      <protection locked="0"/>
    </xf>
    <xf numFmtId="0" fontId="16" fillId="0" borderId="0" xfId="0" applyFont="1" applyBorder="1" applyAlignment="1" applyProtection="1">
      <alignment horizontal="left" vertical="center" shrinkToFit="1"/>
    </xf>
    <xf numFmtId="171" fontId="12" fillId="7" borderId="0" xfId="0" applyNumberFormat="1" applyFont="1" applyFill="1" applyAlignment="1" applyProtection="1">
      <alignment horizontal="lef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0" fillId="7" borderId="0" xfId="0" applyFont="1" applyFill="1" applyAlignment="1" applyProtection="1">
      <alignment horizontal="left" vertical="center" shrinkToFit="1"/>
    </xf>
    <xf numFmtId="0" fontId="10" fillId="7" borderId="5" xfId="0" applyFont="1" applyFill="1" applyBorder="1" applyAlignment="1" applyProtection="1">
      <alignment horizontal="left" vertical="center" shrinkToFit="1"/>
    </xf>
    <xf numFmtId="0" fontId="10" fillId="7" borderId="4" xfId="0" applyFont="1" applyFill="1" applyBorder="1" applyAlignment="1" applyProtection="1">
      <alignment horizontal="left" vertical="center" shrinkToFit="1"/>
    </xf>
    <xf numFmtId="0" fontId="10" fillId="7" borderId="3" xfId="0" applyFont="1" applyFill="1" applyBorder="1" applyAlignment="1" applyProtection="1">
      <alignment horizontal="left" vertical="center" shrinkToFit="1"/>
    </xf>
    <xf numFmtId="0" fontId="10" fillId="0" borderId="0" xfId="0" applyFont="1" applyFill="1"/>
    <xf numFmtId="1" fontId="10" fillId="0" borderId="0" xfId="0" applyNumberFormat="1" applyFont="1" applyFill="1" applyAlignment="1">
      <alignment horizontal="left"/>
    </xf>
    <xf numFmtId="2" fontId="10" fillId="0" borderId="0" xfId="7" applyNumberFormat="1" applyFont="1" applyFill="1" applyAlignment="1">
      <alignment horizontal="left"/>
    </xf>
    <xf numFmtId="1" fontId="10" fillId="0" borderId="0" xfId="7" applyNumberFormat="1" applyFont="1" applyFill="1" applyAlignment="1">
      <alignment horizontal="left"/>
    </xf>
    <xf numFmtId="1" fontId="10" fillId="0" borderId="0" xfId="0" applyNumberFormat="1" applyFont="1" applyFill="1" applyBorder="1" applyAlignment="1">
      <alignment horizontal="left"/>
    </xf>
    <xf numFmtId="0" fontId="10" fillId="0" borderId="0" xfId="0" applyFont="1" applyFill="1" applyBorder="1"/>
    <xf numFmtId="2" fontId="10" fillId="0" borderId="0" xfId="7" applyNumberFormat="1" applyFont="1" applyFill="1" applyBorder="1" applyAlignment="1">
      <alignment horizontal="left"/>
    </xf>
    <xf numFmtId="2" fontId="10" fillId="0" borderId="0" xfId="4" applyNumberFormat="1" applyFont="1" applyFill="1" applyBorder="1" applyAlignment="1">
      <alignment horizontal="left"/>
    </xf>
    <xf numFmtId="49" fontId="12" fillId="0" borderId="0" xfId="0" applyNumberFormat="1" applyFont="1" applyBorder="1"/>
    <xf numFmtId="49" fontId="12" fillId="0" borderId="0" xfId="0" applyNumberFormat="1" applyFont="1" applyBorder="1" applyAlignment="1">
      <alignment horizontal="left" wrapText="1"/>
    </xf>
    <xf numFmtId="0" fontId="10" fillId="0" borderId="0" xfId="0" applyFont="1" applyFill="1" applyBorder="1" applyAlignment="1">
      <alignment horizontal="left" vertical="top" shrinkToFit="1"/>
    </xf>
    <xf numFmtId="0" fontId="10" fillId="0" borderId="0" xfId="0" applyFont="1" applyFill="1" applyBorder="1" applyAlignment="1">
      <alignment horizontal="left" vertical="top" wrapText="1"/>
    </xf>
    <xf numFmtId="1" fontId="10" fillId="0" borderId="0" xfId="0" applyNumberFormat="1" applyFont="1" applyAlignment="1">
      <alignment horizontal="left"/>
    </xf>
    <xf numFmtId="49" fontId="10" fillId="0" borderId="0" xfId="0" applyNumberFormat="1" applyFont="1" applyFill="1" applyBorder="1" applyAlignment="1">
      <alignment shrinkToFit="1"/>
    </xf>
    <xf numFmtId="49" fontId="10" fillId="0" borderId="0" xfId="0" applyNumberFormat="1" applyFont="1" applyAlignment="1">
      <alignment shrinkToFit="1"/>
    </xf>
    <xf numFmtId="2" fontId="10" fillId="0" borderId="0" xfId="0" applyNumberFormat="1" applyFont="1" applyAlignment="1">
      <alignment horizontal="left"/>
    </xf>
    <xf numFmtId="1" fontId="13" fillId="0" borderId="0" xfId="0" applyNumberFormat="1" applyFont="1" applyAlignment="1">
      <alignment horizontal="left"/>
    </xf>
    <xf numFmtId="0" fontId="85" fillId="0" borderId="0" xfId="0" applyFont="1"/>
    <xf numFmtId="173" fontId="5" fillId="0" borderId="0" xfId="0" applyNumberFormat="1" applyFont="1"/>
    <xf numFmtId="0" fontId="5" fillId="0" borderId="0" xfId="0" applyFont="1"/>
    <xf numFmtId="0" fontId="5" fillId="0" borderId="0" xfId="0" applyFont="1" applyAlignment="1">
      <alignment shrinkToFit="1"/>
    </xf>
    <xf numFmtId="0" fontId="5" fillId="0" borderId="0" xfId="0" applyFont="1" applyAlignment="1">
      <alignment horizontal="center"/>
    </xf>
    <xf numFmtId="1" fontId="86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73" fontId="5" fillId="0" borderId="0" xfId="0" applyNumberFormat="1" applyFont="1" applyAlignment="1">
      <alignment horizontal="center"/>
    </xf>
    <xf numFmtId="0" fontId="15" fillId="0" borderId="0" xfId="0" applyFont="1" applyAlignment="1" applyProtection="1">
      <alignment horizontal="left" vertical="center" shrinkToFit="1"/>
    </xf>
    <xf numFmtId="0" fontId="5" fillId="0" borderId="0" xfId="0" applyFont="1" applyAlignment="1" applyProtection="1">
      <alignment horizontal="left" vertical="center" shrinkToFit="1"/>
    </xf>
    <xf numFmtId="0" fontId="87" fillId="0" borderId="0" xfId="0" applyFont="1" applyBorder="1" applyAlignment="1" applyProtection="1">
      <alignment horizontal="left" vertical="center" shrinkToFit="1"/>
    </xf>
    <xf numFmtId="0" fontId="5" fillId="0" borderId="0" xfId="0" applyFont="1" applyBorder="1" applyAlignment="1" applyProtection="1">
      <alignment vertical="center" shrinkToFit="1"/>
    </xf>
    <xf numFmtId="0" fontId="10" fillId="0" borderId="0" xfId="0" applyFont="1" applyAlignment="1" applyProtection="1">
      <alignment horizontal="center" shrinkToFit="1"/>
    </xf>
    <xf numFmtId="0" fontId="88" fillId="0" borderId="0" xfId="3" applyFont="1" applyProtection="1"/>
    <xf numFmtId="169" fontId="5" fillId="6" borderId="0" xfId="0" applyNumberFormat="1" applyFont="1" applyFill="1" applyAlignment="1" applyProtection="1">
      <alignment horizontal="right" vertical="center" shrinkToFit="1"/>
    </xf>
    <xf numFmtId="0" fontId="90" fillId="0" borderId="0" xfId="0" applyFont="1" applyFill="1" applyAlignment="1">
      <alignment horizontal="center" vertical="top" wrapText="1"/>
    </xf>
    <xf numFmtId="0" fontId="30" fillId="0" borderId="0" xfId="0" applyFont="1" applyFill="1" applyBorder="1" applyAlignment="1">
      <alignment horizontal="left" vertical="top" wrapText="1"/>
    </xf>
    <xf numFmtId="0" fontId="30" fillId="0" borderId="6" xfId="0" applyFont="1" applyFill="1" applyBorder="1" applyAlignment="1">
      <alignment horizontal="left" vertical="top" wrapText="1"/>
    </xf>
    <xf numFmtId="0" fontId="91" fillId="12" borderId="0" xfId="0" applyFont="1" applyFill="1" applyBorder="1" applyAlignment="1">
      <alignment horizontal="left" vertical="top" wrapText="1"/>
    </xf>
    <xf numFmtId="0" fontId="5" fillId="0" borderId="0" xfId="0" applyFont="1" applyFill="1"/>
    <xf numFmtId="0" fontId="5" fillId="0" borderId="0" xfId="0" applyFont="1" applyAlignment="1">
      <alignment horizontal="left"/>
    </xf>
    <xf numFmtId="1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168" fontId="0" fillId="7" borderId="0" xfId="0" applyNumberFormat="1" applyFont="1" applyFill="1" applyAlignment="1" applyProtection="1">
      <alignment horizontal="left" vertical="center" shrinkToFit="1"/>
    </xf>
    <xf numFmtId="0" fontId="3" fillId="0" borderId="0" xfId="0" applyFont="1" applyFill="1" applyBorder="1" applyAlignment="1">
      <alignment shrinkToFit="1"/>
    </xf>
    <xf numFmtId="165" fontId="62" fillId="0" borderId="0" xfId="0" applyNumberFormat="1" applyFont="1" applyFill="1" applyBorder="1" applyAlignment="1">
      <alignment horizontal="center" wrapText="1" shrinkToFit="1"/>
    </xf>
    <xf numFmtId="0" fontId="7" fillId="2" borderId="14" xfId="0" applyFont="1" applyFill="1" applyBorder="1" applyAlignment="1" applyProtection="1">
      <alignment vertical="top" wrapText="1"/>
      <protection locked="0"/>
    </xf>
    <xf numFmtId="1" fontId="7" fillId="2" borderId="15" xfId="0" applyNumberFormat="1" applyFont="1" applyFill="1" applyBorder="1" applyAlignment="1" applyProtection="1">
      <alignment horizontal="left" vertical="top" shrinkToFit="1"/>
      <protection locked="0"/>
    </xf>
    <xf numFmtId="2" fontId="7" fillId="2" borderId="15" xfId="0" applyNumberFormat="1" applyFont="1" applyFill="1" applyBorder="1" applyAlignment="1" applyProtection="1">
      <alignment horizontal="left" vertical="top" shrinkToFit="1"/>
      <protection locked="0"/>
    </xf>
    <xf numFmtId="1" fontId="7" fillId="2" borderId="14" xfId="0" applyNumberFormat="1" applyFont="1" applyFill="1" applyBorder="1" applyAlignment="1" applyProtection="1">
      <alignment horizontal="left" vertical="top" shrinkToFit="1"/>
      <protection locked="0"/>
    </xf>
    <xf numFmtId="2" fontId="7" fillId="2" borderId="14" xfId="0" applyNumberFormat="1" applyFont="1" applyFill="1" applyBorder="1" applyAlignment="1" applyProtection="1">
      <alignment horizontal="left" vertical="top" shrinkToFit="1"/>
      <protection locked="0"/>
    </xf>
    <xf numFmtId="1" fontId="7" fillId="2" borderId="16" xfId="0" applyNumberFormat="1" applyFont="1" applyFill="1" applyBorder="1" applyAlignment="1" applyProtection="1">
      <alignment horizontal="left" vertical="top" shrinkToFit="1"/>
      <protection locked="0"/>
    </xf>
    <xf numFmtId="2" fontId="7" fillId="2" borderId="16" xfId="0" applyNumberFormat="1" applyFont="1" applyFill="1" applyBorder="1" applyAlignment="1" applyProtection="1">
      <alignment horizontal="left" vertical="top" shrinkToFit="1"/>
      <protection locked="0"/>
    </xf>
    <xf numFmtId="0" fontId="10" fillId="0" borderId="0" xfId="0" applyFont="1" applyFill="1" applyBorder="1" applyAlignment="1" applyProtection="1">
      <alignment horizontal="left" vertical="top" wrapText="1"/>
    </xf>
    <xf numFmtId="2" fontId="10" fillId="0" borderId="0" xfId="0" applyNumberFormat="1" applyFont="1" applyFill="1" applyBorder="1" applyAlignment="1" applyProtection="1">
      <alignment horizontal="left" vertical="top" wrapText="1"/>
    </xf>
    <xf numFmtId="1" fontId="10" fillId="0" borderId="0" xfId="0" applyNumberFormat="1" applyFont="1" applyFill="1" applyBorder="1" applyAlignment="1" applyProtection="1">
      <alignment horizontal="left" vertical="top" wrapText="1"/>
    </xf>
    <xf numFmtId="2" fontId="13" fillId="0" borderId="0" xfId="0" applyNumberFormat="1" applyFont="1" applyFill="1" applyBorder="1" applyAlignment="1" applyProtection="1">
      <alignment horizontal="left" vertical="top" wrapText="1"/>
    </xf>
    <xf numFmtId="1" fontId="13" fillId="0" borderId="0" xfId="0" applyNumberFormat="1" applyFont="1" applyFill="1" applyBorder="1" applyAlignment="1" applyProtection="1">
      <alignment horizontal="left" vertical="top" wrapText="1"/>
    </xf>
    <xf numFmtId="0" fontId="10" fillId="0" borderId="0" xfId="0" applyNumberFormat="1" applyFont="1" applyFill="1" applyBorder="1" applyAlignment="1" applyProtection="1">
      <alignment horizontal="left" vertical="top" wrapText="1"/>
    </xf>
    <xf numFmtId="165" fontId="7" fillId="2" borderId="15" xfId="0" applyNumberFormat="1" applyFont="1" applyFill="1" applyBorder="1" applyAlignment="1" applyProtection="1">
      <alignment horizontal="left" vertical="top" shrinkToFit="1"/>
      <protection locked="0"/>
    </xf>
    <xf numFmtId="165" fontId="7" fillId="2" borderId="14" xfId="0" applyNumberFormat="1" applyFont="1" applyFill="1" applyBorder="1" applyAlignment="1" applyProtection="1">
      <alignment horizontal="left" vertical="top" shrinkToFit="1"/>
      <protection locked="0"/>
    </xf>
    <xf numFmtId="165" fontId="7" fillId="2" borderId="16" xfId="0" applyNumberFormat="1" applyFont="1" applyFill="1" applyBorder="1" applyAlignment="1" applyProtection="1">
      <alignment horizontal="left" vertical="top" shrinkToFit="1"/>
      <protection locked="0"/>
    </xf>
    <xf numFmtId="0" fontId="10" fillId="0" borderId="0" xfId="0" applyFont="1" applyBorder="1" applyAlignment="1" applyProtection="1">
      <alignment horizontal="left" vertical="top"/>
    </xf>
    <xf numFmtId="184" fontId="10" fillId="0" borderId="0" xfId="0" applyNumberFormat="1" applyFont="1" applyFill="1" applyBorder="1" applyAlignment="1" applyProtection="1">
      <alignment horizontal="left" vertical="top" wrapText="1"/>
    </xf>
    <xf numFmtId="165" fontId="10" fillId="0" borderId="0" xfId="0" applyNumberFormat="1" applyFont="1" applyFill="1" applyBorder="1" applyAlignment="1" applyProtection="1">
      <alignment horizontal="left" vertical="top" wrapText="1"/>
    </xf>
    <xf numFmtId="1" fontId="10" fillId="0" borderId="0" xfId="0" applyNumberFormat="1" applyFont="1" applyFill="1" applyBorder="1" applyAlignment="1">
      <alignment horizontal="left" vertical="top" wrapText="1"/>
    </xf>
    <xf numFmtId="2" fontId="10" fillId="0" borderId="0" xfId="0" applyNumberFormat="1" applyFont="1" applyFill="1" applyBorder="1" applyAlignment="1">
      <alignment horizontal="left" vertical="top" wrapText="1"/>
    </xf>
    <xf numFmtId="2" fontId="10" fillId="0" borderId="0" xfId="0" applyNumberFormat="1" applyFont="1" applyFill="1" applyBorder="1" applyAlignment="1">
      <alignment horizontal="left"/>
    </xf>
    <xf numFmtId="2" fontId="13" fillId="0" borderId="0" xfId="0" applyNumberFormat="1" applyFont="1" applyAlignment="1">
      <alignment horizontal="left"/>
    </xf>
    <xf numFmtId="0" fontId="35" fillId="0" borderId="0" xfId="0" applyFont="1" applyAlignment="1">
      <alignment shrinkToFit="1"/>
    </xf>
    <xf numFmtId="0" fontId="35" fillId="0" borderId="0" xfId="0" applyFont="1" applyAlignment="1">
      <alignment horizontal="center" shrinkToFit="1"/>
    </xf>
    <xf numFmtId="165" fontId="7" fillId="0" borderId="2" xfId="0" applyNumberFormat="1" applyFont="1" applyFill="1" applyBorder="1" applyAlignment="1" applyProtection="1">
      <alignment horizontal="center" vertical="center" shrinkToFit="1"/>
    </xf>
    <xf numFmtId="165" fontId="62" fillId="0" borderId="17" xfId="0" applyNumberFormat="1" applyFont="1" applyFill="1" applyBorder="1" applyAlignment="1" applyProtection="1">
      <alignment horizontal="left" vertical="center" shrinkToFit="1"/>
    </xf>
    <xf numFmtId="165" fontId="7" fillId="0" borderId="0" xfId="0" applyNumberFormat="1" applyFont="1" applyFill="1" applyAlignment="1" applyProtection="1">
      <alignment horizontal="right" vertical="center" shrinkToFit="1"/>
    </xf>
    <xf numFmtId="165" fontId="2" fillId="0" borderId="0" xfId="0" applyNumberFormat="1" applyFont="1" applyAlignment="1">
      <alignment horizontal="center" shrinkToFit="1"/>
    </xf>
    <xf numFmtId="165" fontId="2" fillId="0" borderId="0" xfId="0" applyNumberFormat="1" applyFont="1" applyAlignment="1">
      <alignment horizontal="left" shrinkToFit="1"/>
    </xf>
    <xf numFmtId="165" fontId="0" fillId="0" borderId="0" xfId="0" applyNumberFormat="1" applyAlignment="1">
      <alignment horizontal="left" shrinkToFit="1"/>
    </xf>
    <xf numFmtId="165" fontId="0" fillId="0" borderId="0" xfId="0" applyNumberFormat="1" applyAlignment="1">
      <alignment shrinkToFit="1"/>
    </xf>
    <xf numFmtId="0" fontId="10" fillId="0" borderId="0" xfId="0" applyFont="1" applyFill="1" applyBorder="1" applyAlignment="1" applyProtection="1">
      <alignment horizontal="left" vertical="top"/>
    </xf>
    <xf numFmtId="185" fontId="10" fillId="0" borderId="0" xfId="0" applyNumberFormat="1" applyFont="1" applyFill="1" applyBorder="1" applyAlignment="1" applyProtection="1">
      <alignment horizontal="left" vertical="top" wrapText="1"/>
    </xf>
    <xf numFmtId="184" fontId="10" fillId="0" borderId="0" xfId="0" applyNumberFormat="1" applyFont="1" applyFill="1" applyAlignment="1" applyProtection="1">
      <alignment horizontal="left" vertical="top" wrapText="1"/>
    </xf>
    <xf numFmtId="2" fontId="10" fillId="0" borderId="0" xfId="0" applyNumberFormat="1" applyFont="1" applyFill="1" applyAlignment="1" applyProtection="1">
      <alignment horizontal="left" vertical="top" wrapText="1"/>
    </xf>
    <xf numFmtId="0" fontId="10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left" wrapText="1"/>
    </xf>
    <xf numFmtId="0" fontId="10" fillId="0" borderId="0" xfId="0" applyFont="1"/>
    <xf numFmtId="49" fontId="12" fillId="0" borderId="0" xfId="0" applyNumberFormat="1" applyFont="1" applyAlignment="1">
      <alignment shrinkToFit="1"/>
    </xf>
    <xf numFmtId="173" fontId="12" fillId="0" borderId="0" xfId="0" applyNumberFormat="1" applyFont="1"/>
    <xf numFmtId="0" fontId="12" fillId="0" borderId="0" xfId="0" applyFont="1"/>
    <xf numFmtId="49" fontId="12" fillId="0" borderId="0" xfId="0" applyNumberFormat="1" applyFont="1" applyAlignment="1">
      <alignment horizontal="left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wrapText="1"/>
    </xf>
    <xf numFmtId="0" fontId="12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11" fillId="0" borderId="1" xfId="0" applyFont="1" applyFill="1" applyBorder="1" applyAlignment="1" applyProtection="1">
      <alignment horizontal="left" vertical="center" shrinkToFit="1"/>
    </xf>
    <xf numFmtId="165" fontId="7" fillId="0" borderId="1" xfId="0" applyNumberFormat="1" applyFont="1" applyFill="1" applyBorder="1" applyAlignment="1" applyProtection="1">
      <alignment horizontal="left" vertical="center" shrinkToFit="1"/>
    </xf>
    <xf numFmtId="0" fontId="67" fillId="0" borderId="1" xfId="0" applyFont="1" applyFill="1" applyBorder="1" applyAlignment="1" applyProtection="1">
      <alignment horizontal="left" vertical="center" shrinkToFit="1"/>
    </xf>
    <xf numFmtId="165" fontId="67" fillId="0" borderId="1" xfId="0" applyNumberFormat="1" applyFont="1" applyFill="1" applyBorder="1" applyAlignment="1" applyProtection="1">
      <alignment horizontal="left" vertical="center" shrinkToFit="1"/>
    </xf>
    <xf numFmtId="0" fontId="7" fillId="0" borderId="1" xfId="0" applyFont="1" applyFill="1" applyBorder="1" applyAlignment="1" applyProtection="1">
      <alignment horizontal="left" vertical="center" shrinkToFit="1"/>
    </xf>
    <xf numFmtId="0" fontId="0" fillId="0" borderId="0" xfId="0" applyAlignment="1">
      <alignment horizontal="left" shrinkToFit="1"/>
    </xf>
    <xf numFmtId="165" fontId="62" fillId="0" borderId="0" xfId="0" applyNumberFormat="1" applyFont="1" applyFill="1" applyBorder="1" applyAlignment="1" applyProtection="1">
      <alignment horizontal="left" wrapText="1" shrinkToFit="1"/>
    </xf>
    <xf numFmtId="0" fontId="12" fillId="0" borderId="0" xfId="5" applyFont="1" applyFill="1" applyAlignment="1">
      <alignment horizontal="left" textRotation="47"/>
    </xf>
    <xf numFmtId="0" fontId="71" fillId="0" borderId="0" xfId="5" applyFont="1" applyFill="1" applyAlignment="1">
      <alignment horizontal="left" textRotation="47" wrapText="1"/>
    </xf>
    <xf numFmtId="2" fontId="71" fillId="0" borderId="0" xfId="5" applyNumberFormat="1" applyFont="1" applyFill="1" applyAlignment="1">
      <alignment horizontal="left" textRotation="47" wrapText="1"/>
    </xf>
    <xf numFmtId="0" fontId="13" fillId="0" borderId="0" xfId="5" applyFont="1" applyFill="1" applyAlignment="1">
      <alignment horizontal="left" textRotation="47"/>
    </xf>
    <xf numFmtId="0" fontId="10" fillId="0" borderId="0" xfId="5" applyFont="1" applyFill="1" applyAlignment="1">
      <alignment horizontal="left" textRotation="47"/>
    </xf>
    <xf numFmtId="2" fontId="10" fillId="0" borderId="0" xfId="5" applyNumberFormat="1" applyFont="1" applyFill="1" applyAlignment="1">
      <alignment horizontal="left" textRotation="47"/>
    </xf>
    <xf numFmtId="49" fontId="10" fillId="0" borderId="0" xfId="0" applyNumberFormat="1" applyFont="1" applyFill="1" applyBorder="1" applyAlignment="1" applyProtection="1">
      <alignment shrinkToFit="1"/>
    </xf>
    <xf numFmtId="1" fontId="10" fillId="0" borderId="0" xfId="0" applyNumberFormat="1" applyFont="1" applyFill="1" applyBorder="1" applyAlignment="1" applyProtection="1">
      <alignment horizontal="left"/>
    </xf>
    <xf numFmtId="2" fontId="10" fillId="0" borderId="0" xfId="0" applyNumberFormat="1" applyFont="1" applyFill="1" applyBorder="1" applyAlignment="1" applyProtection="1">
      <alignment horizontal="left"/>
    </xf>
    <xf numFmtId="1" fontId="10" fillId="0" borderId="0" xfId="0" applyNumberFormat="1" applyFont="1" applyFill="1" applyAlignment="1" applyProtection="1">
      <alignment horizontal="left" vertical="top" wrapText="1"/>
    </xf>
    <xf numFmtId="3" fontId="10" fillId="0" borderId="0" xfId="0" applyNumberFormat="1" applyFont="1" applyFill="1" applyBorder="1" applyAlignment="1">
      <alignment horizontal="left" vertical="top" wrapText="1"/>
    </xf>
    <xf numFmtId="3" fontId="13" fillId="0" borderId="0" xfId="0" applyNumberFormat="1" applyFont="1" applyAlignment="1">
      <alignment horizontal="left"/>
    </xf>
    <xf numFmtId="0" fontId="16" fillId="0" borderId="0" xfId="1" applyFont="1" applyFill="1" applyBorder="1" applyAlignment="1" applyProtection="1">
      <alignment shrinkToFit="1"/>
    </xf>
    <xf numFmtId="0" fontId="13" fillId="0" borderId="0" xfId="0" applyFont="1" applyFill="1" applyBorder="1" applyAlignment="1" applyProtection="1">
      <alignment horizontal="left" vertical="center" wrapText="1" shrinkToFit="1"/>
    </xf>
    <xf numFmtId="0" fontId="13" fillId="0" borderId="0" xfId="0" applyFont="1" applyFill="1" applyBorder="1" applyAlignment="1" applyProtection="1">
      <alignment horizontal="left" vertical="center" shrinkToFit="1"/>
    </xf>
    <xf numFmtId="0" fontId="33" fillId="0" borderId="0" xfId="0" applyFont="1" applyFill="1" applyBorder="1" applyAlignment="1" applyProtection="1">
      <alignment horizontal="right" vertical="center" shrinkToFit="1"/>
    </xf>
    <xf numFmtId="166" fontId="5" fillId="7" borderId="3" xfId="0" applyNumberFormat="1" applyFont="1" applyFill="1" applyBorder="1" applyAlignment="1" applyProtection="1">
      <alignment horizontal="right" vertical="center" shrinkToFit="1"/>
    </xf>
    <xf numFmtId="166" fontId="10" fillId="7" borderId="3" xfId="0" applyNumberFormat="1" applyFont="1" applyFill="1" applyBorder="1" applyAlignment="1" applyProtection="1">
      <alignment horizontal="right" vertical="center" shrinkToFit="1"/>
    </xf>
    <xf numFmtId="166" fontId="5" fillId="7" borderId="0" xfId="0" applyNumberFormat="1" applyFont="1" applyFill="1" applyAlignment="1" applyProtection="1">
      <alignment horizontal="right" vertical="center" shrinkToFit="1"/>
    </xf>
    <xf numFmtId="166" fontId="10" fillId="7" borderId="0" xfId="0" applyNumberFormat="1" applyFont="1" applyFill="1" applyAlignment="1" applyProtection="1">
      <alignment horizontal="right" vertical="center" shrinkToFit="1"/>
    </xf>
    <xf numFmtId="0" fontId="15" fillId="0" borderId="0" xfId="0" applyFont="1" applyBorder="1" applyAlignment="1" applyProtection="1">
      <alignment vertical="center" shrinkToFit="1"/>
    </xf>
    <xf numFmtId="0" fontId="36" fillId="2" borderId="0" xfId="0" applyFont="1" applyFill="1" applyBorder="1" applyAlignment="1" applyProtection="1">
      <alignment horizontal="left" vertical="center" indent="1" shrinkToFit="1"/>
      <protection locked="0"/>
    </xf>
    <xf numFmtId="0" fontId="89" fillId="0" borderId="0" xfId="0" applyFont="1" applyAlignment="1" applyProtection="1">
      <alignment horizontal="left" vertical="center" indent="1" shrinkToFit="1"/>
      <protection locked="0"/>
    </xf>
    <xf numFmtId="166" fontId="5" fillId="7" borderId="4" xfId="0" applyNumberFormat="1" applyFont="1" applyFill="1" applyBorder="1" applyAlignment="1" applyProtection="1">
      <alignment horizontal="right" vertical="center" shrinkToFit="1"/>
    </xf>
    <xf numFmtId="166" fontId="10" fillId="7" borderId="4" xfId="0" applyNumberFormat="1" applyFont="1" applyFill="1" applyBorder="1" applyAlignment="1" applyProtection="1">
      <alignment horizontal="right" vertical="center" shrinkToFit="1"/>
    </xf>
    <xf numFmtId="0" fontId="15" fillId="0" borderId="0" xfId="0" applyFont="1" applyBorder="1" applyAlignment="1" applyProtection="1">
      <alignment horizontal="left" vertical="center" shrinkToFit="1"/>
    </xf>
    <xf numFmtId="0" fontId="34" fillId="0" borderId="0" xfId="0" applyFont="1" applyBorder="1" applyAlignment="1" applyProtection="1">
      <alignment horizontal="left" vertical="center" shrinkToFit="1"/>
    </xf>
    <xf numFmtId="0" fontId="18" fillId="5" borderId="0" xfId="0" applyFont="1" applyFill="1" applyBorder="1" applyAlignment="1" applyProtection="1">
      <alignment vertical="center" shrinkToFit="1"/>
    </xf>
    <xf numFmtId="0" fontId="16" fillId="0" borderId="0" xfId="1" applyFont="1" applyFill="1" applyBorder="1" applyAlignment="1" applyProtection="1">
      <alignment horizontal="left" vertical="center" shrinkToFit="1"/>
    </xf>
    <xf numFmtId="0" fontId="31" fillId="0" borderId="0" xfId="2" applyFont="1" applyFill="1" applyAlignment="1" applyProtection="1">
      <alignment horizontal="left" vertical="center" shrinkToFit="1"/>
    </xf>
    <xf numFmtId="0" fontId="10" fillId="0" borderId="0" xfId="0" applyFont="1" applyFill="1" applyAlignment="1" applyProtection="1">
      <alignment horizontal="left" vertical="center" shrinkToFit="1"/>
    </xf>
    <xf numFmtId="0" fontId="15" fillId="0" borderId="0" xfId="0" applyFont="1" applyAlignment="1" applyProtection="1">
      <alignment horizontal="left" vertical="center" shrinkToFit="1"/>
    </xf>
    <xf numFmtId="0" fontId="29" fillId="0" borderId="0" xfId="0" applyFont="1" applyAlignment="1" applyProtection="1">
      <alignment vertical="center" shrinkToFit="1"/>
    </xf>
    <xf numFmtId="170" fontId="20" fillId="0" borderId="0" xfId="0" applyNumberFormat="1" applyFont="1" applyAlignment="1" applyProtection="1">
      <alignment horizontal="left" vertical="center" shrinkToFit="1"/>
    </xf>
    <xf numFmtId="0" fontId="39" fillId="0" borderId="0" xfId="0" applyFont="1" applyAlignment="1" applyProtection="1">
      <alignment vertical="center" wrapText="1" shrinkToFit="1"/>
    </xf>
    <xf numFmtId="2" fontId="36" fillId="2" borderId="0" xfId="0" applyNumberFormat="1" applyFont="1" applyFill="1" applyBorder="1" applyAlignment="1" applyProtection="1">
      <alignment horizontal="left" vertical="center" indent="1" shrinkToFit="1"/>
      <protection locked="0"/>
    </xf>
    <xf numFmtId="1" fontId="36" fillId="2" borderId="0" xfId="0" applyNumberFormat="1" applyFont="1" applyFill="1" applyBorder="1" applyAlignment="1" applyProtection="1">
      <alignment horizontal="left" vertical="center" indent="1" shrinkToFit="1"/>
      <protection locked="0"/>
    </xf>
    <xf numFmtId="0" fontId="6" fillId="5" borderId="0" xfId="0" applyFont="1" applyFill="1" applyBorder="1" applyAlignment="1" applyProtection="1">
      <alignment horizontal="right" vertical="center" shrinkToFit="1"/>
    </xf>
    <xf numFmtId="0" fontId="20" fillId="0" borderId="0" xfId="0" applyFont="1" applyAlignment="1" applyProtection="1">
      <alignment horizontal="left" vertical="center" shrinkToFit="1"/>
    </xf>
    <xf numFmtId="0" fontId="36" fillId="2" borderId="3" xfId="0" applyFont="1" applyFill="1" applyBorder="1" applyAlignment="1" applyProtection="1">
      <alignment horizontal="left" vertical="center" indent="1" shrinkToFit="1"/>
      <protection locked="0"/>
    </xf>
    <xf numFmtId="0" fontId="16" fillId="0" borderId="0" xfId="1" applyFont="1" applyFill="1" applyBorder="1" applyAlignment="1" applyProtection="1">
      <alignment horizontal="left" shrinkToFit="1"/>
    </xf>
    <xf numFmtId="1" fontId="38" fillId="2" borderId="0" xfId="0" applyNumberFormat="1" applyFont="1" applyFill="1" applyBorder="1" applyAlignment="1" applyProtection="1">
      <alignment horizontal="left" vertical="center" indent="1" shrinkToFit="1"/>
      <protection locked="0"/>
    </xf>
    <xf numFmtId="166" fontId="5" fillId="7" borderId="5" xfId="0" applyNumberFormat="1" applyFont="1" applyFill="1" applyBorder="1" applyAlignment="1" applyProtection="1">
      <alignment horizontal="right" vertical="center" shrinkToFit="1"/>
    </xf>
    <xf numFmtId="166" fontId="10" fillId="7" borderId="5" xfId="0" applyNumberFormat="1" applyFont="1" applyFill="1" applyBorder="1" applyAlignment="1" applyProtection="1">
      <alignment horizontal="right" vertical="center" shrinkToFit="1"/>
    </xf>
    <xf numFmtId="0" fontId="28" fillId="0" borderId="0" xfId="0" applyFont="1" applyAlignment="1" applyProtection="1">
      <alignment horizontal="left" shrinkToFit="1"/>
    </xf>
    <xf numFmtId="174" fontId="20" fillId="0" borderId="0" xfId="0" applyNumberFormat="1" applyFont="1" applyAlignment="1" applyProtection="1">
      <alignment horizontal="left" vertical="center" shrinkToFit="1"/>
    </xf>
    <xf numFmtId="0" fontId="16" fillId="0" borderId="0" xfId="0" applyFont="1" applyFill="1" applyBorder="1" applyAlignment="1" applyProtection="1">
      <alignment horizontal="left" vertical="center" shrinkToFit="1"/>
    </xf>
    <xf numFmtId="0" fontId="16" fillId="0" borderId="0" xfId="0" applyFont="1" applyBorder="1" applyAlignment="1" applyProtection="1">
      <alignment vertical="center" shrinkToFit="1"/>
    </xf>
    <xf numFmtId="0" fontId="47" fillId="0" borderId="0" xfId="0" applyFont="1" applyAlignment="1" applyProtection="1">
      <alignment horizontal="center" vertical="center" shrinkToFit="1"/>
    </xf>
    <xf numFmtId="175" fontId="12" fillId="7" borderId="0" xfId="0" applyNumberFormat="1" applyFont="1" applyFill="1" applyBorder="1" applyAlignment="1" applyProtection="1">
      <alignment vertical="center" shrinkToFit="1"/>
    </xf>
    <xf numFmtId="0" fontId="47" fillId="9" borderId="0" xfId="0" applyFont="1" applyFill="1" applyBorder="1" applyAlignment="1" applyProtection="1">
      <alignment horizontal="left" vertical="center" shrinkToFit="1"/>
    </xf>
    <xf numFmtId="0" fontId="77" fillId="0" borderId="11" xfId="0" applyFont="1" applyFill="1" applyBorder="1" applyAlignment="1" applyProtection="1">
      <alignment horizontal="right" vertical="center" wrapText="1" shrinkToFit="1"/>
    </xf>
    <xf numFmtId="0" fontId="35" fillId="0" borderId="12" xfId="0" applyFont="1" applyFill="1" applyBorder="1" applyAlignment="1">
      <alignment vertical="center" wrapText="1" shrinkToFit="1"/>
    </xf>
    <xf numFmtId="0" fontId="35" fillId="0" borderId="13" xfId="0" applyFont="1" applyFill="1" applyBorder="1" applyAlignment="1">
      <alignment vertical="center" wrapText="1" shrinkToFit="1"/>
    </xf>
    <xf numFmtId="0" fontId="20" fillId="0" borderId="0" xfId="0" applyFont="1" applyFill="1" applyBorder="1" applyAlignment="1" applyProtection="1">
      <alignment horizontal="left" vertical="center" wrapText="1" shrinkToFit="1"/>
    </xf>
    <xf numFmtId="0" fontId="6" fillId="5" borderId="0" xfId="0" applyFont="1" applyFill="1" applyBorder="1" applyAlignment="1" applyProtection="1">
      <alignment horizontal="right" vertical="center" wrapText="1" shrinkToFit="1"/>
    </xf>
    <xf numFmtId="0" fontId="0" fillId="5" borderId="0" xfId="0" applyFill="1" applyAlignment="1">
      <alignment vertical="center" wrapText="1" shrinkToFit="1"/>
    </xf>
    <xf numFmtId="178" fontId="12" fillId="0" borderId="0" xfId="0" applyNumberFormat="1" applyFont="1" applyFill="1" applyAlignment="1" applyProtection="1">
      <alignment horizontal="left" vertical="center" shrinkToFit="1"/>
    </xf>
    <xf numFmtId="178" fontId="0" fillId="0" borderId="0" xfId="0" applyNumberFormat="1" applyAlignment="1" applyProtection="1">
      <alignment horizontal="left" vertical="center" shrinkToFit="1"/>
    </xf>
    <xf numFmtId="1" fontId="36" fillId="2" borderId="0" xfId="0" applyNumberFormat="1" applyFont="1" applyFill="1" applyBorder="1" applyAlignment="1" applyProtection="1">
      <alignment horizontal="left" vertical="center" indent="1" shrinkToFit="1"/>
    </xf>
    <xf numFmtId="2" fontId="36" fillId="2" borderId="0" xfId="0" applyNumberFormat="1" applyFont="1" applyFill="1" applyBorder="1" applyAlignment="1" applyProtection="1">
      <alignment horizontal="center" vertical="center" shrinkToFit="1"/>
    </xf>
    <xf numFmtId="0" fontId="22" fillId="0" borderId="0" xfId="0" applyFont="1" applyAlignment="1" applyProtection="1">
      <alignment horizontal="left" vertical="center" shrinkToFit="1"/>
    </xf>
    <xf numFmtId="0" fontId="20" fillId="0" borderId="0" xfId="0" applyFont="1" applyAlignment="1" applyProtection="1">
      <alignment horizontal="center" vertical="center" shrinkToFit="1"/>
    </xf>
    <xf numFmtId="1" fontId="38" fillId="2" borderId="0" xfId="0" applyNumberFormat="1" applyFont="1" applyFill="1" applyBorder="1" applyAlignment="1" applyProtection="1">
      <alignment horizontal="left" vertical="center" indent="1" shrinkToFit="1"/>
    </xf>
    <xf numFmtId="172" fontId="12" fillId="7" borderId="0" xfId="0" applyNumberFormat="1" applyFont="1" applyFill="1" applyAlignment="1" applyProtection="1">
      <alignment horizontal="left" vertical="center" shrinkToFit="1"/>
    </xf>
    <xf numFmtId="0" fontId="16" fillId="0" borderId="0" xfId="0" applyFont="1" applyBorder="1" applyAlignment="1" applyProtection="1">
      <alignment horizontal="left" vertical="center" shrinkToFit="1"/>
    </xf>
    <xf numFmtId="0" fontId="10" fillId="7" borderId="0" xfId="0" applyFont="1" applyFill="1" applyAlignment="1" applyProtection="1">
      <alignment horizontal="left" vertical="center" shrinkToFit="1"/>
    </xf>
    <xf numFmtId="0" fontId="54" fillId="0" borderId="0" xfId="0" applyFont="1" applyFill="1" applyBorder="1" applyAlignment="1" applyProtection="1">
      <alignment horizontal="left" vertical="center" wrapText="1" shrinkToFit="1"/>
    </xf>
    <xf numFmtId="0" fontId="54" fillId="0" borderId="0" xfId="0" applyFont="1" applyFill="1" applyBorder="1" applyAlignment="1" applyProtection="1">
      <alignment horizontal="left" vertical="center" shrinkToFit="1"/>
    </xf>
    <xf numFmtId="166" fontId="0" fillId="7" borderId="0" xfId="0" applyNumberFormat="1" applyFont="1" applyFill="1" applyAlignment="1" applyProtection="1">
      <alignment horizontal="right" vertical="center" shrinkToFit="1"/>
    </xf>
    <xf numFmtId="166" fontId="0" fillId="7" borderId="3" xfId="0" applyNumberFormat="1" applyFont="1" applyFill="1" applyBorder="1" applyAlignment="1" applyProtection="1">
      <alignment horizontal="right" vertical="center" shrinkToFit="1"/>
    </xf>
    <xf numFmtId="166" fontId="0" fillId="7" borderId="4" xfId="0" applyNumberFormat="1" applyFont="1" applyFill="1" applyBorder="1" applyAlignment="1" applyProtection="1">
      <alignment horizontal="right" vertical="center" shrinkToFit="1"/>
    </xf>
    <xf numFmtId="166" fontId="0" fillId="7" borderId="5" xfId="0" applyNumberFormat="1" applyFont="1" applyFill="1" applyBorder="1" applyAlignment="1" applyProtection="1">
      <alignment horizontal="right" vertical="center" shrinkToFit="1"/>
    </xf>
    <xf numFmtId="0" fontId="10" fillId="7" borderId="5" xfId="0" applyFont="1" applyFill="1" applyBorder="1" applyAlignment="1" applyProtection="1">
      <alignment horizontal="left" vertical="center" shrinkToFit="1"/>
    </xf>
    <xf numFmtId="0" fontId="10" fillId="7" borderId="4" xfId="0" applyFont="1" applyFill="1" applyBorder="1" applyAlignment="1" applyProtection="1">
      <alignment horizontal="left" vertical="center" shrinkToFit="1"/>
    </xf>
    <xf numFmtId="0" fontId="10" fillId="7" borderId="3" xfId="0" applyFont="1" applyFill="1" applyBorder="1" applyAlignment="1" applyProtection="1">
      <alignment horizontal="left" vertical="center" shrinkToFit="1"/>
    </xf>
    <xf numFmtId="0" fontId="31" fillId="0" borderId="0" xfId="2" applyFont="1" applyFill="1" applyAlignment="1" applyProtection="1">
      <alignment horizontal="left" shrinkToFit="1"/>
    </xf>
    <xf numFmtId="0" fontId="31" fillId="0" borderId="0" xfId="2" applyFont="1" applyFill="1" applyAlignment="1" applyProtection="1">
      <alignment horizontal="left" vertical="top" shrinkToFit="1"/>
    </xf>
    <xf numFmtId="0" fontId="13" fillId="0" borderId="0" xfId="0" applyFont="1" applyAlignment="1" applyProtection="1">
      <alignment horizontal="center" vertical="center" shrinkToFit="1"/>
    </xf>
    <xf numFmtId="0" fontId="15" fillId="0" borderId="0" xfId="0" applyFont="1" applyFill="1" applyAlignment="1" applyProtection="1">
      <alignment horizontal="center" vertical="center" wrapText="1" shrinkToFit="1"/>
    </xf>
    <xf numFmtId="0" fontId="0" fillId="0" borderId="0" xfId="0" applyAlignment="1">
      <alignment vertical="center" shrinkToFit="1"/>
    </xf>
    <xf numFmtId="0" fontId="16" fillId="0" borderId="0" xfId="0" applyFont="1" applyAlignment="1" applyProtection="1">
      <alignment vertical="center" shrinkToFit="1"/>
    </xf>
    <xf numFmtId="0" fontId="15" fillId="0" borderId="0" xfId="0" applyFont="1" applyAlignment="1" applyProtection="1">
      <alignment horizontal="center" wrapText="1" shrinkToFit="1"/>
    </xf>
    <xf numFmtId="0" fontId="30" fillId="0" borderId="0" xfId="0" applyFont="1" applyAlignment="1" applyProtection="1">
      <alignment horizontal="center" wrapText="1" shrinkToFit="1"/>
    </xf>
    <xf numFmtId="191" fontId="20" fillId="0" borderId="0" xfId="0" applyNumberFormat="1" applyFont="1" applyAlignment="1" applyProtection="1">
      <alignment horizontal="left" vertical="center" shrinkToFit="1"/>
    </xf>
    <xf numFmtId="171" fontId="12" fillId="7" borderId="0" xfId="0" applyNumberFormat="1" applyFont="1" applyFill="1" applyAlignment="1" applyProtection="1">
      <alignment horizontal="left" vertical="center" shrinkToFit="1"/>
    </xf>
    <xf numFmtId="0" fontId="16" fillId="9" borderId="0" xfId="0" applyFont="1" applyFill="1" applyBorder="1" applyAlignment="1" applyProtection="1">
      <alignment horizontal="left" vertical="center" shrinkToFit="1"/>
    </xf>
    <xf numFmtId="176" fontId="12" fillId="0" borderId="0" xfId="0" applyNumberFormat="1" applyFont="1" applyFill="1" applyAlignment="1" applyProtection="1">
      <alignment horizontal="left" vertical="center" shrinkToFit="1"/>
    </xf>
    <xf numFmtId="189" fontId="12" fillId="0" borderId="0" xfId="0" applyNumberFormat="1" applyFont="1" applyFill="1" applyAlignment="1" applyProtection="1">
      <alignment horizontal="left" vertical="center" shrinkToFit="1"/>
    </xf>
    <xf numFmtId="189" fontId="0" fillId="0" borderId="0" xfId="0" applyNumberFormat="1" applyAlignment="1" applyProtection="1">
      <alignment horizontal="left" vertical="center" shrinkToFit="1"/>
    </xf>
    <xf numFmtId="188" fontId="20" fillId="0" borderId="0" xfId="0" applyNumberFormat="1" applyFont="1" applyAlignment="1" applyProtection="1">
      <alignment horizontal="left" vertical="center" shrinkToFit="1"/>
    </xf>
    <xf numFmtId="188" fontId="0" fillId="0" borderId="0" xfId="0" applyNumberFormat="1" applyAlignment="1">
      <alignment vertical="center" shrinkToFit="1"/>
    </xf>
    <xf numFmtId="0" fontId="20" fillId="0" borderId="0" xfId="0" applyFont="1" applyFill="1" applyBorder="1" applyAlignment="1" applyProtection="1">
      <alignment vertical="center" wrapText="1" shrinkToFit="1"/>
    </xf>
    <xf numFmtId="2" fontId="36" fillId="2" borderId="0" xfId="0" applyNumberFormat="1" applyFont="1" applyFill="1" applyBorder="1" applyAlignment="1" applyProtection="1">
      <alignment vertical="center" shrinkToFit="1"/>
    </xf>
    <xf numFmtId="187" fontId="12" fillId="7" borderId="0" xfId="0" applyNumberFormat="1" applyFont="1" applyFill="1" applyAlignment="1" applyProtection="1">
      <alignment horizontal="left" vertical="center" shrinkToFit="1"/>
    </xf>
    <xf numFmtId="190" fontId="10" fillId="7" borderId="0" xfId="0" applyNumberFormat="1" applyFont="1" applyFill="1" applyAlignment="1" applyProtection="1">
      <alignment horizontal="center" vertical="center" shrinkToFit="1"/>
    </xf>
    <xf numFmtId="0" fontId="37" fillId="0" borderId="0" xfId="0" applyFont="1" applyAlignment="1" applyProtection="1">
      <alignment horizontal="left" vertical="center" indent="1" shrinkToFit="1"/>
      <protection locked="0"/>
    </xf>
    <xf numFmtId="2" fontId="0" fillId="0" borderId="0" xfId="0" applyNumberFormat="1" applyAlignment="1" applyProtection="1">
      <alignment horizontal="left" vertical="center" indent="1" shrinkToFit="1"/>
      <protection locked="0"/>
    </xf>
    <xf numFmtId="0" fontId="0" fillId="0" borderId="0" xfId="0" applyAlignment="1" applyProtection="1">
      <alignment horizontal="left" vertical="center" indent="1" shrinkToFit="1"/>
      <protection locked="0"/>
    </xf>
    <xf numFmtId="0" fontId="69" fillId="0" borderId="0" xfId="0" applyFont="1" applyAlignment="1" applyProtection="1">
      <alignment horizontal="left" vertical="center" shrinkToFit="1"/>
    </xf>
    <xf numFmtId="0" fontId="70" fillId="0" borderId="0" xfId="0" applyFont="1" applyAlignment="1">
      <alignment horizontal="left" vertical="center" shrinkToFit="1"/>
    </xf>
    <xf numFmtId="180" fontId="20" fillId="0" borderId="0" xfId="0" applyNumberFormat="1" applyFont="1" applyFill="1" applyAlignment="1" applyProtection="1">
      <alignment horizontal="left" vertical="center" shrinkToFit="1"/>
    </xf>
    <xf numFmtId="0" fontId="39" fillId="0" borderId="0" xfId="0" applyFont="1" applyAlignment="1" applyProtection="1">
      <alignment vertical="top" wrapText="1" shrinkToFit="1"/>
    </xf>
    <xf numFmtId="2" fontId="36" fillId="2" borderId="0" xfId="0" applyNumberFormat="1" applyFont="1" applyFill="1" applyBorder="1" applyAlignment="1" applyProtection="1">
      <alignment horizontal="left" vertical="center" indent="1" shrinkToFit="1"/>
    </xf>
    <xf numFmtId="2" fontId="0" fillId="0" borderId="0" xfId="0" applyNumberFormat="1" applyAlignment="1" applyProtection="1">
      <alignment horizontal="left" vertical="center" indent="1" shrinkToFit="1"/>
    </xf>
    <xf numFmtId="3" fontId="10" fillId="0" borderId="0" xfId="0" applyNumberFormat="1" applyFont="1" applyAlignment="1">
      <alignment horizontal="left"/>
    </xf>
  </cellXfs>
  <cellStyles count="8">
    <cellStyle name="Gut" xfId="1" builtinId="26"/>
    <cellStyle name="Link" xfId="3" builtinId="8"/>
    <cellStyle name="Neutral" xfId="2" builtinId="28"/>
    <cellStyle name="Schlecht" xfId="4" builtinId="27"/>
    <cellStyle name="Standard" xfId="0" builtinId="0"/>
    <cellStyle name="Standard 2" xfId="5"/>
    <cellStyle name="Standard 2 2" xfId="6"/>
    <cellStyle name="Standard_Grunddatenneu _1" xfId="7"/>
  </cellStyles>
  <dxfs count="26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"/>
      <alignment horizontal="left" vertical="bottom" textRotation="0" wrapText="0" indent="0" justifyLastLine="0" shrinkToFit="1" readingOrder="0"/>
    </dxf>
    <dxf>
      <numFmt numFmtId="165" formatCode="0.0"/>
      <alignment horizontal="center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 style="thin">
          <color rgb="FFD0D7E5"/>
        </top>
        <bottom style="thin">
          <color rgb="FFD0D7E5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 outline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 outline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 outline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 outline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 outline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 outline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5" formatCode="0.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1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1" readingOrder="0"/>
    </dxf>
    <dxf>
      <alignment horizontal="center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 outline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 outline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 outline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 outline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 outline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 outline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 outline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numFmt numFmtId="165" formatCode="0.0"/>
      <fill>
        <patternFill patternType="solid">
          <fgColor rgb="FFC0C0C0"/>
          <bgColor theme="4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5" formatCode="0.0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84" formatCode="###0.0;###0.0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84" formatCode="###0.0;###0.0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ill>
        <patternFill>
          <bgColor rgb="FFFF0000"/>
        </patternFill>
      </fill>
    </dxf>
    <dxf>
      <font>
        <b val="0"/>
        <strike val="0"/>
        <outline val="0"/>
        <shadow val="0"/>
        <u val="none"/>
        <sz val="1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sz val="1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sz val="1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sz val="11"/>
        <name val="Calibri"/>
        <scheme val="minor"/>
      </font>
      <numFmt numFmtId="2" formatCode="0.00"/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sz val="11"/>
        <name val="Calibri"/>
        <scheme val="minor"/>
      </font>
      <numFmt numFmtId="2" formatCode="0.00"/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sz val="11"/>
        <name val="Calibri"/>
        <scheme val="minor"/>
      </font>
      <numFmt numFmtId="2" formatCode="0.00"/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sz val="11"/>
        <name val="Calibri"/>
        <scheme val="minor"/>
      </font>
      <numFmt numFmtId="2" formatCode="0.0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sz val="1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sz val="1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sz val="1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sz val="1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sz val="1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sz val="11"/>
        <name val="Calibri"/>
        <scheme val="minor"/>
      </font>
      <numFmt numFmtId="30" formatCode="@"/>
      <alignment horizontal="general" vertical="bottom" textRotation="0" wrapText="0" indent="0" justifyLastLine="0" shrinkToFit="1" readingOrder="0"/>
    </dxf>
    <dxf>
      <font>
        <b val="0"/>
        <strike val="0"/>
        <outline val="0"/>
        <shadow val="0"/>
        <u val="none"/>
        <sz val="11"/>
        <name val="Calibri"/>
        <scheme val="minor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color rgb="FFFF0000"/>
      </font>
    </dxf>
    <dxf>
      <font>
        <color theme="4"/>
      </font>
    </dxf>
    <dxf>
      <font>
        <color theme="5" tint="-0.2499465926084170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rgb="FF9BC2E6"/>
        </top>
      </border>
    </dxf>
    <dxf>
      <border outline="0">
        <left style="thin">
          <color rgb="FF9BC2E6"/>
        </left>
        <right style="thin">
          <color rgb="FF9BC2E6"/>
        </right>
        <top style="thin">
          <color rgb="FF9BC2E6"/>
        </top>
        <bottom style="thin">
          <color rgb="FF9BC2E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rgb="FF9BC2E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numFmt numFmtId="30" formatCode="@"/>
      <fill>
        <patternFill patternType="solid">
          <fgColor theme="4"/>
          <bgColor theme="4"/>
        </patternFill>
      </fill>
      <alignment horizontal="general" vertical="bottom" textRotation="0" wrapText="1" indent="0" justifyLastLine="0" shrinkToFit="0" readingOrder="0"/>
    </dxf>
    <dxf>
      <font>
        <sz val="1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z val="1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z val="1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z val="1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z val="1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z val="1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z val="1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z val="1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z val="1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left" vertical="bottom" textRotation="0" wrapText="1" indent="0" justifyLastLine="0" shrinkToFit="0" readingOrder="0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47" wrapText="0" indent="0" justifyLastLine="0" shrinkToFit="0" readingOrder="0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C0E399"/>
      <color rgb="FFD8EEC0"/>
      <color rgb="FF3399FF"/>
      <color rgb="FFC6EFCE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lr-rheinpfalz.rlp.de/Internet/global/inetcntr.nsf/dlr_web_full.xsp?src=DM318G6B09&amp;p1=KG7A93FKXG&amp;p3=4H0SJ5100N&amp;p4=6T14Z53D9J" TargetMode="External"/><Relationship Id="rId2" Type="http://schemas.openxmlformats.org/officeDocument/2006/relationships/hyperlink" Target="#'Tab org. Kompost_N-expert'!A1"/><Relationship Id="rId1" Type="http://schemas.openxmlformats.org/officeDocument/2006/relationships/hyperlink" Target="#'Tab org. D_N-expert'!A1"/><Relationship Id="rId5" Type="http://schemas.openxmlformats.org/officeDocument/2006/relationships/hyperlink" Target="#'P-Bedarf Gem&#252;se Erdbeere'!Druckbereich"/><Relationship Id="rId4" Type="http://schemas.openxmlformats.org/officeDocument/2006/relationships/hyperlink" Target="#'Tab 4+5 D&#252;V+Abfuhr_G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'N-Bedarf Ackerbau'!A1"/><Relationship Id="rId2" Type="http://schemas.openxmlformats.org/officeDocument/2006/relationships/hyperlink" Target="#'N-Bedarf H&amp;G'!Druckbereich"/><Relationship Id="rId1" Type="http://schemas.openxmlformats.org/officeDocument/2006/relationships/hyperlink" Target="#'N-Bedarf Gem&#252;se Erdbeere'!A1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'N-Bedarf H&amp;G'!Druckbereich"/><Relationship Id="rId2" Type="http://schemas.openxmlformats.org/officeDocument/2006/relationships/hyperlink" Target="#'N-Bedarf Ackerbau'!A1"/><Relationship Id="rId1" Type="http://schemas.openxmlformats.org/officeDocument/2006/relationships/hyperlink" Target="#'N-Bedarf Gem&#252;se Erdbeere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Tab 4+5 D&#252;V+Abfuhr_G'!A1"/><Relationship Id="rId1" Type="http://schemas.openxmlformats.org/officeDocument/2006/relationships/hyperlink" Target="#'N-Bedarf Gem&#252;se Erdbeere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lr-rnh.rlp.de/Internet/global/inetcntr.nsf/dlr_web_full.xsp?src=KWK950ONFN&amp;p1=KG7A93FKXG&amp;p3=KKGE3SO4FW&amp;p4=17563UFUEP" TargetMode="External"/><Relationship Id="rId2" Type="http://schemas.openxmlformats.org/officeDocument/2006/relationships/hyperlink" Target="#'Tab org. Kompost_N-expert'!A1"/><Relationship Id="rId1" Type="http://schemas.openxmlformats.org/officeDocument/2006/relationships/hyperlink" Target="#'Tab org. D_N-expert'!A1"/><Relationship Id="rId5" Type="http://schemas.openxmlformats.org/officeDocument/2006/relationships/hyperlink" Target="#'P-Bedarf H&amp;G'!A1"/><Relationship Id="rId4" Type="http://schemas.openxmlformats.org/officeDocument/2006/relationships/hyperlink" Target="#'H&amp;G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'H&amp;G'!A1"/><Relationship Id="rId1" Type="http://schemas.openxmlformats.org/officeDocument/2006/relationships/hyperlink" Target="#'N-Bedarf H&amp;G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lr-rnh.rlp.de/Internet/global/inetcntr.nsf/dlr_web_full.xsp?src=KWK950ONFN&amp;p1=KG7A93FKXG&amp;p3=KKGE3SO4FW&amp;p4=17563UFUEP" TargetMode="External"/><Relationship Id="rId2" Type="http://schemas.openxmlformats.org/officeDocument/2006/relationships/hyperlink" Target="#'Tab org. Kompost_N-expert'!A1"/><Relationship Id="rId1" Type="http://schemas.openxmlformats.org/officeDocument/2006/relationships/hyperlink" Target="#'Tab org. D_N-expert'!A1"/><Relationship Id="rId6" Type="http://schemas.openxmlformats.org/officeDocument/2006/relationships/hyperlink" Target="http://www.dlr.rlp.de/Internet/global/inetcntr.nsf/dlr_web_full.xsp?src=Q85E50Q59O&amp;p1=9SNFTU12WL&amp;p3=7ST7Y87RGX&amp;p4=6T14Z53D9J" TargetMode="External"/><Relationship Id="rId5" Type="http://schemas.openxmlformats.org/officeDocument/2006/relationships/hyperlink" Target="#'P-Bedarf Ackerbau'!A1"/><Relationship Id="rId4" Type="http://schemas.openxmlformats.org/officeDocument/2006/relationships/hyperlink" Target="#'Tab 2+3 D&#252;V_A'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Tab 2+3 D&#252;V_A'!A1"/><Relationship Id="rId2" Type="http://schemas.openxmlformats.org/officeDocument/2006/relationships/hyperlink" Target="http://www.dlr.rlp.de/Internet/global/inetcntr.nsf/dlr_web_full.xsp?src=Q85E50Q59O&amp;p1=9SNFTU12WL&amp;p3=7ST7Y87RGX&amp;p4=6T14Z53D9J" TargetMode="External"/><Relationship Id="rId1" Type="http://schemas.openxmlformats.org/officeDocument/2006/relationships/hyperlink" Target="#'N-Bedarf Ackerbau'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'P-Bedarf Ackerbau'!A1"/><Relationship Id="rId1" Type="http://schemas.openxmlformats.org/officeDocument/2006/relationships/hyperlink" Target="#'N-Bedarf Ackerbau'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'P-Bedarf Gem&#252;se Erdbeere'!Druckbereich"/><Relationship Id="rId1" Type="http://schemas.openxmlformats.org/officeDocument/2006/relationships/hyperlink" Target="#'N-Bedarf Gem&#252;se Erdbeere'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'P-Bedarf H&amp;G'!A1"/><Relationship Id="rId1" Type="http://schemas.openxmlformats.org/officeDocument/2006/relationships/hyperlink" Target="#'N-Bedarf H&amp;G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809625</xdr:colOff>
      <xdr:row>3</xdr:row>
      <xdr:rowOff>47626</xdr:rowOff>
    </xdr:from>
    <xdr:to>
      <xdr:col>9</xdr:col>
      <xdr:colOff>390525</xdr:colOff>
      <xdr:row>4</xdr:row>
      <xdr:rowOff>209550</xdr:rowOff>
    </xdr:to>
    <xdr:sp macro="" textlink="">
      <xdr:nvSpPr>
        <xdr:cNvPr id="2" name="Textfeld 1"/>
        <xdr:cNvSpPr txBox="1"/>
      </xdr:nvSpPr>
      <xdr:spPr>
        <a:xfrm>
          <a:off x="3829050" y="619126"/>
          <a:ext cx="2114550" cy="276224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200" b="1">
              <a:solidFill>
                <a:srgbClr val="FF0000"/>
              </a:solidFill>
            </a:rPr>
            <a:t>Alle grauen Felder ausfüllen!</a:t>
          </a:r>
        </a:p>
      </xdr:txBody>
    </xdr:sp>
    <xdr:clientData/>
  </xdr:twoCellAnchor>
  <xdr:twoCellAnchor>
    <xdr:from>
      <xdr:col>7</xdr:col>
      <xdr:colOff>123824</xdr:colOff>
      <xdr:row>32</xdr:row>
      <xdr:rowOff>85724</xdr:rowOff>
    </xdr:from>
    <xdr:to>
      <xdr:col>9</xdr:col>
      <xdr:colOff>277799</xdr:colOff>
      <xdr:row>35</xdr:row>
      <xdr:rowOff>39374</xdr:rowOff>
    </xdr:to>
    <xdr:sp macro="" textlink="">
      <xdr:nvSpPr>
        <xdr:cNvPr id="5" name="Textfeld 4">
          <a:hlinkClick xmlns:r="http://schemas.openxmlformats.org/officeDocument/2006/relationships" r:id="rId1"/>
        </xdr:cNvPr>
        <xdr:cNvSpPr txBox="1"/>
      </xdr:nvSpPr>
      <xdr:spPr>
        <a:xfrm>
          <a:off x="4714874" y="5419724"/>
          <a:ext cx="1116000" cy="468000"/>
        </a:xfrm>
        <a:prstGeom prst="rect">
          <a:avLst/>
        </a:prstGeom>
        <a:solidFill>
          <a:schemeClr val="lt1"/>
        </a:solidFill>
        <a:ln w="19050" cmpd="dbl">
          <a:solidFill>
            <a:srgbClr val="3399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>
              <a:solidFill>
                <a:srgbClr val="3399FF"/>
              </a:solidFill>
            </a:rPr>
            <a:t>zur</a:t>
          </a:r>
          <a:r>
            <a:rPr lang="de-DE" sz="1100" baseline="0">
              <a:solidFill>
                <a:srgbClr val="3399FF"/>
              </a:solidFill>
            </a:rPr>
            <a:t> Eingabe organ. Dünger</a:t>
          </a:r>
          <a:endParaRPr lang="de-DE" sz="1100">
            <a:solidFill>
              <a:srgbClr val="3399FF"/>
            </a:solidFill>
          </a:endParaRPr>
        </a:p>
      </xdr:txBody>
    </xdr:sp>
    <xdr:clientData/>
  </xdr:twoCellAnchor>
  <xdr:twoCellAnchor>
    <xdr:from>
      <xdr:col>7</xdr:col>
      <xdr:colOff>126754</xdr:colOff>
      <xdr:row>42</xdr:row>
      <xdr:rowOff>28575</xdr:rowOff>
    </xdr:from>
    <xdr:to>
      <xdr:col>9</xdr:col>
      <xdr:colOff>280729</xdr:colOff>
      <xdr:row>44</xdr:row>
      <xdr:rowOff>153675</xdr:rowOff>
    </xdr:to>
    <xdr:sp macro="" textlink="">
      <xdr:nvSpPr>
        <xdr:cNvPr id="7" name="Textfeld 6">
          <a:hlinkClick xmlns:r="http://schemas.openxmlformats.org/officeDocument/2006/relationships" r:id="rId2"/>
        </xdr:cNvPr>
        <xdr:cNvSpPr txBox="1"/>
      </xdr:nvSpPr>
      <xdr:spPr>
        <a:xfrm>
          <a:off x="4717804" y="7077075"/>
          <a:ext cx="1116000" cy="468000"/>
        </a:xfrm>
        <a:prstGeom prst="rect">
          <a:avLst/>
        </a:prstGeom>
        <a:solidFill>
          <a:schemeClr val="lt1"/>
        </a:solidFill>
        <a:ln w="19050" cmpd="dbl">
          <a:solidFill>
            <a:srgbClr val="3399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>
              <a:solidFill>
                <a:srgbClr val="3399FF"/>
              </a:solidFill>
            </a:rPr>
            <a:t>zur Eingabe</a:t>
          </a:r>
          <a:r>
            <a:rPr lang="de-DE" sz="1100" baseline="0">
              <a:solidFill>
                <a:srgbClr val="3399FF"/>
              </a:solidFill>
            </a:rPr>
            <a:t> Kompost</a:t>
          </a:r>
          <a:endParaRPr lang="de-DE" sz="1100">
            <a:solidFill>
              <a:srgbClr val="3399FF"/>
            </a:solidFill>
          </a:endParaRPr>
        </a:p>
      </xdr:txBody>
    </xdr:sp>
    <xdr:clientData/>
  </xdr:twoCellAnchor>
  <xdr:twoCellAnchor>
    <xdr:from>
      <xdr:col>7</xdr:col>
      <xdr:colOff>57149</xdr:colOff>
      <xdr:row>17</xdr:row>
      <xdr:rowOff>19050</xdr:rowOff>
    </xdr:from>
    <xdr:to>
      <xdr:col>9</xdr:col>
      <xdr:colOff>211124</xdr:colOff>
      <xdr:row>19</xdr:row>
      <xdr:rowOff>10800</xdr:rowOff>
    </xdr:to>
    <xdr:sp macro="" textlink="">
      <xdr:nvSpPr>
        <xdr:cNvPr id="8" name="Textfeld 7">
          <a:hlinkClick xmlns:r="http://schemas.openxmlformats.org/officeDocument/2006/relationships" r:id="rId3"/>
        </xdr:cNvPr>
        <xdr:cNvSpPr txBox="1"/>
      </xdr:nvSpPr>
      <xdr:spPr>
        <a:xfrm>
          <a:off x="4648199" y="2990850"/>
          <a:ext cx="1116000" cy="468000"/>
        </a:xfrm>
        <a:prstGeom prst="rect">
          <a:avLst/>
        </a:prstGeom>
        <a:solidFill>
          <a:schemeClr val="lt1"/>
        </a:solidFill>
        <a:ln w="19050" cmpd="dbl">
          <a:solidFill>
            <a:srgbClr val="3399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>
              <a:solidFill>
                <a:srgbClr val="3399FF"/>
              </a:solidFill>
            </a:rPr>
            <a:t>Nmin-Werte Region abrufen</a:t>
          </a:r>
        </a:p>
      </xdr:txBody>
    </xdr:sp>
    <xdr:clientData/>
  </xdr:twoCellAnchor>
  <xdr:twoCellAnchor>
    <xdr:from>
      <xdr:col>7</xdr:col>
      <xdr:colOff>76198</xdr:colOff>
      <xdr:row>11</xdr:row>
      <xdr:rowOff>0</xdr:rowOff>
    </xdr:from>
    <xdr:to>
      <xdr:col>9</xdr:col>
      <xdr:colOff>230173</xdr:colOff>
      <xdr:row>11</xdr:row>
      <xdr:rowOff>270000</xdr:rowOff>
    </xdr:to>
    <xdr:sp macro="" textlink="">
      <xdr:nvSpPr>
        <xdr:cNvPr id="9" name="Textfeld 8">
          <a:hlinkClick xmlns:r="http://schemas.openxmlformats.org/officeDocument/2006/relationships" r:id="rId4"/>
        </xdr:cNvPr>
        <xdr:cNvSpPr txBox="1"/>
      </xdr:nvSpPr>
      <xdr:spPr>
        <a:xfrm>
          <a:off x="4667248" y="1714500"/>
          <a:ext cx="1116000" cy="270000"/>
        </a:xfrm>
        <a:prstGeom prst="rect">
          <a:avLst/>
        </a:prstGeom>
        <a:solidFill>
          <a:schemeClr val="lt1"/>
        </a:solidFill>
        <a:ln w="19050" cmpd="dbl">
          <a:solidFill>
            <a:srgbClr val="3399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>
              <a:solidFill>
                <a:srgbClr val="3399FF"/>
              </a:solidFill>
            </a:rPr>
            <a:t>zur</a:t>
          </a:r>
          <a:r>
            <a:rPr lang="de-DE" sz="1100" baseline="0">
              <a:solidFill>
                <a:srgbClr val="3399FF"/>
              </a:solidFill>
            </a:rPr>
            <a:t> Tab. Kultur</a:t>
          </a:r>
          <a:endParaRPr lang="de-DE" sz="1100">
            <a:solidFill>
              <a:srgbClr val="3399FF"/>
            </a:solidFill>
          </a:endParaRPr>
        </a:p>
      </xdr:txBody>
    </xdr:sp>
    <xdr:clientData/>
  </xdr:twoCellAnchor>
  <xdr:twoCellAnchor>
    <xdr:from>
      <xdr:col>7</xdr:col>
      <xdr:colOff>133350</xdr:colOff>
      <xdr:row>50</xdr:row>
      <xdr:rowOff>38100</xdr:rowOff>
    </xdr:from>
    <xdr:to>
      <xdr:col>9</xdr:col>
      <xdr:colOff>287325</xdr:colOff>
      <xdr:row>52</xdr:row>
      <xdr:rowOff>163200</xdr:rowOff>
    </xdr:to>
    <xdr:sp macro="" textlink="">
      <xdr:nvSpPr>
        <xdr:cNvPr id="10" name="Textfeld 9">
          <a:hlinkClick xmlns:r="http://schemas.openxmlformats.org/officeDocument/2006/relationships" r:id="rId5"/>
        </xdr:cNvPr>
        <xdr:cNvSpPr txBox="1"/>
      </xdr:nvSpPr>
      <xdr:spPr>
        <a:xfrm>
          <a:off x="4724400" y="8458200"/>
          <a:ext cx="1116000" cy="468000"/>
        </a:xfrm>
        <a:prstGeom prst="rect">
          <a:avLst/>
        </a:prstGeom>
        <a:solidFill>
          <a:schemeClr val="lt1"/>
        </a:solidFill>
        <a:ln w="19050" cmpd="dbl">
          <a:solidFill>
            <a:srgbClr val="3399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>
              <a:solidFill>
                <a:srgbClr val="3399FF"/>
              </a:solidFill>
            </a:rPr>
            <a:t>zum</a:t>
          </a:r>
          <a:r>
            <a:rPr lang="de-DE" sz="1100" baseline="0">
              <a:solidFill>
                <a:srgbClr val="3399FF"/>
              </a:solidFill>
            </a:rPr>
            <a:t> Phosphatbedarf</a:t>
          </a:r>
          <a:endParaRPr lang="de-DE" sz="1100">
            <a:solidFill>
              <a:srgbClr val="3399FF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28573</xdr:colOff>
      <xdr:row>0</xdr:row>
      <xdr:rowOff>38100</xdr:rowOff>
    </xdr:from>
    <xdr:to>
      <xdr:col>1</xdr:col>
      <xdr:colOff>1324573</xdr:colOff>
      <xdr:row>0</xdr:row>
      <xdr:rowOff>686100</xdr:rowOff>
    </xdr:to>
    <xdr:sp macro="" textlink="">
      <xdr:nvSpPr>
        <xdr:cNvPr id="2" name="Textfeld 1">
          <a:hlinkClick xmlns:r="http://schemas.openxmlformats.org/officeDocument/2006/relationships" r:id="rId1"/>
        </xdr:cNvPr>
        <xdr:cNvSpPr txBox="1"/>
      </xdr:nvSpPr>
      <xdr:spPr>
        <a:xfrm>
          <a:off x="28573" y="38100"/>
          <a:ext cx="1296000" cy="648000"/>
        </a:xfrm>
        <a:prstGeom prst="rect">
          <a:avLst/>
        </a:prstGeom>
        <a:solidFill>
          <a:schemeClr val="lt1"/>
        </a:solidFill>
        <a:ln w="19050" cmpd="dbl">
          <a:solidFill>
            <a:srgbClr val="3399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>
              <a:solidFill>
                <a:srgbClr val="3399FF"/>
              </a:solidFill>
            </a:rPr>
            <a:t>zurück zur </a:t>
          </a:r>
        </a:p>
        <a:p>
          <a:pPr algn="ctr"/>
          <a:r>
            <a:rPr lang="de-DE" sz="1100">
              <a:solidFill>
                <a:srgbClr val="3399FF"/>
              </a:solidFill>
            </a:rPr>
            <a:t>N-Berechnung</a:t>
          </a:r>
        </a:p>
        <a:p>
          <a:pPr algn="ctr"/>
          <a:r>
            <a:rPr lang="de-DE" sz="1100">
              <a:solidFill>
                <a:srgbClr val="3399FF"/>
              </a:solidFill>
            </a:rPr>
            <a:t>Gemüse, Erdbeere</a:t>
          </a:r>
        </a:p>
      </xdr:txBody>
    </xdr:sp>
    <xdr:clientData/>
  </xdr:twoCellAnchor>
  <xdr:twoCellAnchor>
    <xdr:from>
      <xdr:col>1</xdr:col>
      <xdr:colOff>1362073</xdr:colOff>
      <xdr:row>0</xdr:row>
      <xdr:rowOff>38100</xdr:rowOff>
    </xdr:from>
    <xdr:to>
      <xdr:col>1</xdr:col>
      <xdr:colOff>2622073</xdr:colOff>
      <xdr:row>0</xdr:row>
      <xdr:rowOff>686100</xdr:rowOff>
    </xdr:to>
    <xdr:sp macro="" textlink="">
      <xdr:nvSpPr>
        <xdr:cNvPr id="3" name="Textfeld 2">
          <a:hlinkClick xmlns:r="http://schemas.openxmlformats.org/officeDocument/2006/relationships" r:id="rId2"/>
        </xdr:cNvPr>
        <xdr:cNvSpPr txBox="1"/>
      </xdr:nvSpPr>
      <xdr:spPr>
        <a:xfrm>
          <a:off x="1362073" y="38100"/>
          <a:ext cx="1260000" cy="648000"/>
        </a:xfrm>
        <a:prstGeom prst="rect">
          <a:avLst/>
        </a:prstGeom>
        <a:solidFill>
          <a:schemeClr val="lt1"/>
        </a:solidFill>
        <a:ln w="19050" cmpd="dbl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>
              <a:solidFill>
                <a:srgbClr val="7030A0"/>
              </a:solidFill>
            </a:rPr>
            <a:t>zurück zur </a:t>
          </a:r>
        </a:p>
        <a:p>
          <a:pPr algn="ctr"/>
          <a:r>
            <a:rPr lang="de-DE" sz="1100">
              <a:solidFill>
                <a:srgbClr val="7030A0"/>
              </a:solidFill>
            </a:rPr>
            <a:t>N-Berechnung</a:t>
          </a:r>
        </a:p>
        <a:p>
          <a:pPr algn="ctr"/>
          <a:r>
            <a:rPr lang="de-DE" sz="1100">
              <a:solidFill>
                <a:srgbClr val="7030A0"/>
              </a:solidFill>
            </a:rPr>
            <a:t>H&amp;G</a:t>
          </a:r>
        </a:p>
      </xdr:txBody>
    </xdr:sp>
    <xdr:clientData/>
  </xdr:twoCellAnchor>
  <xdr:twoCellAnchor>
    <xdr:from>
      <xdr:col>1</xdr:col>
      <xdr:colOff>2657474</xdr:colOff>
      <xdr:row>0</xdr:row>
      <xdr:rowOff>38100</xdr:rowOff>
    </xdr:from>
    <xdr:to>
      <xdr:col>1</xdr:col>
      <xdr:colOff>3953474</xdr:colOff>
      <xdr:row>0</xdr:row>
      <xdr:rowOff>686100</xdr:rowOff>
    </xdr:to>
    <xdr:sp macro="" textlink="">
      <xdr:nvSpPr>
        <xdr:cNvPr id="5" name="Textfeld 4">
          <a:hlinkClick xmlns:r="http://schemas.openxmlformats.org/officeDocument/2006/relationships" r:id="rId3"/>
        </xdr:cNvPr>
        <xdr:cNvSpPr txBox="1"/>
      </xdr:nvSpPr>
      <xdr:spPr>
        <a:xfrm>
          <a:off x="2657474" y="38100"/>
          <a:ext cx="1296000" cy="648000"/>
        </a:xfrm>
        <a:prstGeom prst="rect">
          <a:avLst/>
        </a:prstGeom>
        <a:solidFill>
          <a:schemeClr val="lt1"/>
        </a:solidFill>
        <a:ln w="19050" cmpd="dbl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>
              <a:solidFill>
                <a:schemeClr val="bg1">
                  <a:lumMod val="50000"/>
                </a:schemeClr>
              </a:solidFill>
            </a:rPr>
            <a:t>zurück zur </a:t>
          </a:r>
        </a:p>
        <a:p>
          <a:pPr algn="ctr"/>
          <a:r>
            <a:rPr lang="de-DE" sz="1100">
              <a:solidFill>
                <a:schemeClr val="bg1">
                  <a:lumMod val="50000"/>
                </a:schemeClr>
              </a:solidFill>
            </a:rPr>
            <a:t>N-Berechnung</a:t>
          </a:r>
        </a:p>
        <a:p>
          <a:pPr algn="ctr"/>
          <a:r>
            <a:rPr lang="de-DE" sz="1100">
              <a:solidFill>
                <a:schemeClr val="bg1">
                  <a:lumMod val="50000"/>
                </a:schemeClr>
              </a:solidFill>
            </a:rPr>
            <a:t>Ackerbau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0</xdr:row>
      <xdr:rowOff>76200</xdr:rowOff>
    </xdr:from>
    <xdr:to>
      <xdr:col>1</xdr:col>
      <xdr:colOff>1315049</xdr:colOff>
      <xdr:row>0</xdr:row>
      <xdr:rowOff>724200</xdr:rowOff>
    </xdr:to>
    <xdr:sp macro="" textlink="">
      <xdr:nvSpPr>
        <xdr:cNvPr id="3" name="Textfeld 2">
          <a:hlinkClick xmlns:r="http://schemas.openxmlformats.org/officeDocument/2006/relationships" r:id="rId1"/>
        </xdr:cNvPr>
        <xdr:cNvSpPr txBox="1"/>
      </xdr:nvSpPr>
      <xdr:spPr>
        <a:xfrm>
          <a:off x="19049" y="76200"/>
          <a:ext cx="1296000" cy="648000"/>
        </a:xfrm>
        <a:prstGeom prst="rect">
          <a:avLst/>
        </a:prstGeom>
        <a:solidFill>
          <a:schemeClr val="lt1"/>
        </a:solidFill>
        <a:ln w="19050" cmpd="dbl">
          <a:solidFill>
            <a:srgbClr val="3399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>
              <a:solidFill>
                <a:srgbClr val="3399FF"/>
              </a:solidFill>
            </a:rPr>
            <a:t>zurück zur </a:t>
          </a:r>
        </a:p>
        <a:p>
          <a:pPr algn="ctr"/>
          <a:r>
            <a:rPr lang="de-DE" sz="1100">
              <a:solidFill>
                <a:srgbClr val="3399FF"/>
              </a:solidFill>
            </a:rPr>
            <a:t>N-Berechnung</a:t>
          </a:r>
        </a:p>
        <a:p>
          <a:pPr algn="ctr"/>
          <a:r>
            <a:rPr lang="de-DE" sz="1100">
              <a:solidFill>
                <a:srgbClr val="3399FF"/>
              </a:solidFill>
            </a:rPr>
            <a:t>Gemüse, Erdbeere</a:t>
          </a:r>
        </a:p>
      </xdr:txBody>
    </xdr:sp>
    <xdr:clientData/>
  </xdr:twoCellAnchor>
  <xdr:twoCellAnchor>
    <xdr:from>
      <xdr:col>1</xdr:col>
      <xdr:colOff>2686049</xdr:colOff>
      <xdr:row>0</xdr:row>
      <xdr:rowOff>76200</xdr:rowOff>
    </xdr:from>
    <xdr:to>
      <xdr:col>1</xdr:col>
      <xdr:colOff>3982049</xdr:colOff>
      <xdr:row>0</xdr:row>
      <xdr:rowOff>724200</xdr:rowOff>
    </xdr:to>
    <xdr:sp macro="" textlink="">
      <xdr:nvSpPr>
        <xdr:cNvPr id="6" name="Textfeld 5">
          <a:hlinkClick xmlns:r="http://schemas.openxmlformats.org/officeDocument/2006/relationships" r:id="rId2"/>
        </xdr:cNvPr>
        <xdr:cNvSpPr txBox="1"/>
      </xdr:nvSpPr>
      <xdr:spPr>
        <a:xfrm>
          <a:off x="2686049" y="76200"/>
          <a:ext cx="1296000" cy="648000"/>
        </a:xfrm>
        <a:prstGeom prst="rect">
          <a:avLst/>
        </a:prstGeom>
        <a:solidFill>
          <a:schemeClr val="lt1"/>
        </a:solidFill>
        <a:ln w="19050" cmpd="dbl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>
              <a:solidFill>
                <a:schemeClr val="bg1">
                  <a:lumMod val="50000"/>
                </a:schemeClr>
              </a:solidFill>
            </a:rPr>
            <a:t>zurück zur </a:t>
          </a:r>
        </a:p>
        <a:p>
          <a:pPr algn="ctr"/>
          <a:r>
            <a:rPr lang="de-DE" sz="1100">
              <a:solidFill>
                <a:schemeClr val="bg1">
                  <a:lumMod val="50000"/>
                </a:schemeClr>
              </a:solidFill>
            </a:rPr>
            <a:t>N-Berechnung</a:t>
          </a:r>
        </a:p>
        <a:p>
          <a:pPr algn="ctr"/>
          <a:r>
            <a:rPr lang="de-DE" sz="1100">
              <a:solidFill>
                <a:schemeClr val="bg1">
                  <a:lumMod val="50000"/>
                </a:schemeClr>
              </a:solidFill>
            </a:rPr>
            <a:t>Ackerbau</a:t>
          </a:r>
        </a:p>
      </xdr:txBody>
    </xdr:sp>
    <xdr:clientData/>
  </xdr:twoCellAnchor>
  <xdr:twoCellAnchor>
    <xdr:from>
      <xdr:col>1</xdr:col>
      <xdr:colOff>1343024</xdr:colOff>
      <xdr:row>0</xdr:row>
      <xdr:rowOff>76200</xdr:rowOff>
    </xdr:from>
    <xdr:to>
      <xdr:col>1</xdr:col>
      <xdr:colOff>2639024</xdr:colOff>
      <xdr:row>0</xdr:row>
      <xdr:rowOff>724200</xdr:rowOff>
    </xdr:to>
    <xdr:sp macro="" textlink="">
      <xdr:nvSpPr>
        <xdr:cNvPr id="7" name="Textfeld 6">
          <a:hlinkClick xmlns:r="http://schemas.openxmlformats.org/officeDocument/2006/relationships" r:id="rId3"/>
        </xdr:cNvPr>
        <xdr:cNvSpPr txBox="1"/>
      </xdr:nvSpPr>
      <xdr:spPr>
        <a:xfrm>
          <a:off x="1343024" y="76200"/>
          <a:ext cx="1296000" cy="648000"/>
        </a:xfrm>
        <a:prstGeom prst="rect">
          <a:avLst/>
        </a:prstGeom>
        <a:solidFill>
          <a:schemeClr val="lt1"/>
        </a:solidFill>
        <a:ln w="19050" cmpd="dbl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>
              <a:solidFill>
                <a:srgbClr val="7030A0"/>
              </a:solidFill>
            </a:rPr>
            <a:t>zurück zur </a:t>
          </a:r>
        </a:p>
        <a:p>
          <a:pPr algn="ctr"/>
          <a:r>
            <a:rPr lang="de-DE" sz="1100">
              <a:solidFill>
                <a:srgbClr val="7030A0"/>
              </a:solidFill>
            </a:rPr>
            <a:t>N-Berechnung</a:t>
          </a:r>
        </a:p>
        <a:p>
          <a:pPr algn="ctr"/>
          <a:r>
            <a:rPr lang="de-DE" sz="1100">
              <a:solidFill>
                <a:srgbClr val="7030A0"/>
              </a:solidFill>
            </a:rPr>
            <a:t>H&amp;G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19051</xdr:rowOff>
    </xdr:from>
    <xdr:to>
      <xdr:col>11</xdr:col>
      <xdr:colOff>352425</xdr:colOff>
      <xdr:row>4</xdr:row>
      <xdr:rowOff>152400</xdr:rowOff>
    </xdr:to>
    <xdr:sp macro="" textlink="">
      <xdr:nvSpPr>
        <xdr:cNvPr id="2" name="Textfeld 1"/>
        <xdr:cNvSpPr txBox="1"/>
      </xdr:nvSpPr>
      <xdr:spPr>
        <a:xfrm>
          <a:off x="3648075" y="647701"/>
          <a:ext cx="2314575" cy="257174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200" b="1">
              <a:solidFill>
                <a:srgbClr val="FF0000"/>
              </a:solidFill>
            </a:rPr>
            <a:t>Alle grauen Felder ausfüllen!</a:t>
          </a:r>
        </a:p>
      </xdr:txBody>
    </xdr:sp>
    <xdr:clientData/>
  </xdr:twoCellAnchor>
  <xdr:twoCellAnchor>
    <xdr:from>
      <xdr:col>9</xdr:col>
      <xdr:colOff>428625</xdr:colOff>
      <xdr:row>22</xdr:row>
      <xdr:rowOff>85725</xdr:rowOff>
    </xdr:from>
    <xdr:to>
      <xdr:col>11</xdr:col>
      <xdr:colOff>361950</xdr:colOff>
      <xdr:row>22</xdr:row>
      <xdr:rowOff>542925</xdr:rowOff>
    </xdr:to>
    <xdr:sp macro="" textlink="">
      <xdr:nvSpPr>
        <xdr:cNvPr id="4" name="Textfeld 3">
          <a:hlinkClick xmlns:r="http://schemas.openxmlformats.org/officeDocument/2006/relationships" r:id="rId1"/>
        </xdr:cNvPr>
        <xdr:cNvSpPr txBox="1"/>
      </xdr:nvSpPr>
      <xdr:spPr>
        <a:xfrm>
          <a:off x="5372100" y="4143375"/>
          <a:ext cx="895350" cy="457200"/>
        </a:xfrm>
        <a:prstGeom prst="rect">
          <a:avLst/>
        </a:prstGeom>
        <a:solidFill>
          <a:schemeClr val="lt1"/>
        </a:solidFill>
        <a:ln w="19050" cmpd="dbl">
          <a:solidFill>
            <a:srgbClr val="3399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>
              <a:solidFill>
                <a:srgbClr val="3399FF"/>
              </a:solidFill>
            </a:rPr>
            <a:t>zurück zum N-Bedarf</a:t>
          </a:r>
        </a:p>
      </xdr:txBody>
    </xdr:sp>
    <xdr:clientData/>
  </xdr:twoCellAnchor>
  <xdr:twoCellAnchor>
    <xdr:from>
      <xdr:col>9</xdr:col>
      <xdr:colOff>228600</xdr:colOff>
      <xdr:row>8</xdr:row>
      <xdr:rowOff>390525</xdr:rowOff>
    </xdr:from>
    <xdr:to>
      <xdr:col>11</xdr:col>
      <xdr:colOff>382575</xdr:colOff>
      <xdr:row>9</xdr:row>
      <xdr:rowOff>241425</xdr:rowOff>
    </xdr:to>
    <xdr:sp macro="" textlink="">
      <xdr:nvSpPr>
        <xdr:cNvPr id="5" name="Textfeld 4">
          <a:hlinkClick xmlns:r="http://schemas.openxmlformats.org/officeDocument/2006/relationships" r:id="rId2"/>
        </xdr:cNvPr>
        <xdr:cNvSpPr txBox="1"/>
      </xdr:nvSpPr>
      <xdr:spPr>
        <a:xfrm>
          <a:off x="4876800" y="1819275"/>
          <a:ext cx="1116000" cy="270000"/>
        </a:xfrm>
        <a:prstGeom prst="rect">
          <a:avLst/>
        </a:prstGeom>
        <a:solidFill>
          <a:schemeClr val="lt1"/>
        </a:solidFill>
        <a:ln w="19050" cmpd="dbl">
          <a:solidFill>
            <a:srgbClr val="3399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>
              <a:solidFill>
                <a:srgbClr val="3399FF"/>
              </a:solidFill>
            </a:rPr>
            <a:t>zur</a:t>
          </a:r>
          <a:r>
            <a:rPr lang="de-DE" sz="1100" baseline="0">
              <a:solidFill>
                <a:srgbClr val="3399FF"/>
              </a:solidFill>
            </a:rPr>
            <a:t> Tab. Kultur</a:t>
          </a:r>
          <a:endParaRPr lang="de-DE" sz="1100">
            <a:solidFill>
              <a:srgbClr val="3399FF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857250</xdr:colOff>
      <xdr:row>3</xdr:row>
      <xdr:rowOff>9526</xdr:rowOff>
    </xdr:from>
    <xdr:to>
      <xdr:col>12</xdr:col>
      <xdr:colOff>438150</xdr:colOff>
      <xdr:row>4</xdr:row>
      <xdr:rowOff>142875</xdr:rowOff>
    </xdr:to>
    <xdr:sp macro="" textlink="">
      <xdr:nvSpPr>
        <xdr:cNvPr id="2" name="Textfeld 1"/>
        <xdr:cNvSpPr txBox="1"/>
      </xdr:nvSpPr>
      <xdr:spPr>
        <a:xfrm>
          <a:off x="3819525" y="638176"/>
          <a:ext cx="2114550" cy="257174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200" b="1">
              <a:solidFill>
                <a:srgbClr val="FF0000"/>
              </a:solidFill>
            </a:rPr>
            <a:t>Alle grauen Felder ausfüllen!</a:t>
          </a:r>
        </a:p>
      </xdr:txBody>
    </xdr:sp>
    <xdr:clientData/>
  </xdr:twoCellAnchor>
  <xdr:twoCellAnchor>
    <xdr:from>
      <xdr:col>10</xdr:col>
      <xdr:colOff>123824</xdr:colOff>
      <xdr:row>26</xdr:row>
      <xdr:rowOff>85725</xdr:rowOff>
    </xdr:from>
    <xdr:to>
      <xdr:col>12</xdr:col>
      <xdr:colOff>161925</xdr:colOff>
      <xdr:row>28</xdr:row>
      <xdr:rowOff>146538</xdr:rowOff>
    </xdr:to>
    <xdr:sp macro="" textlink="">
      <xdr:nvSpPr>
        <xdr:cNvPr id="3" name="Textfeld 2">
          <a:hlinkClick xmlns:r="http://schemas.openxmlformats.org/officeDocument/2006/relationships" r:id="rId1"/>
        </xdr:cNvPr>
        <xdr:cNvSpPr txBox="1"/>
      </xdr:nvSpPr>
      <xdr:spPr>
        <a:xfrm>
          <a:off x="4657724" y="4457700"/>
          <a:ext cx="1000126" cy="460863"/>
        </a:xfrm>
        <a:prstGeom prst="rect">
          <a:avLst/>
        </a:prstGeom>
        <a:solidFill>
          <a:schemeClr val="lt1"/>
        </a:solidFill>
        <a:ln w="19050" cmpd="dbl">
          <a:solidFill>
            <a:srgbClr val="3399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>
              <a:solidFill>
                <a:srgbClr val="3399FF"/>
              </a:solidFill>
            </a:rPr>
            <a:t>zur</a:t>
          </a:r>
          <a:r>
            <a:rPr lang="de-DE" sz="1100" baseline="0">
              <a:solidFill>
                <a:srgbClr val="3399FF"/>
              </a:solidFill>
            </a:rPr>
            <a:t> Eingabe organ. Dünger</a:t>
          </a:r>
          <a:endParaRPr lang="de-DE" sz="1100">
            <a:solidFill>
              <a:srgbClr val="3399FF"/>
            </a:solidFill>
          </a:endParaRPr>
        </a:p>
      </xdr:txBody>
    </xdr:sp>
    <xdr:clientData/>
  </xdr:twoCellAnchor>
  <xdr:twoCellAnchor>
    <xdr:from>
      <xdr:col>10</xdr:col>
      <xdr:colOff>117230</xdr:colOff>
      <xdr:row>36</xdr:row>
      <xdr:rowOff>95250</xdr:rowOff>
    </xdr:from>
    <xdr:to>
      <xdr:col>12</xdr:col>
      <xdr:colOff>136280</xdr:colOff>
      <xdr:row>38</xdr:row>
      <xdr:rowOff>152400</xdr:rowOff>
    </xdr:to>
    <xdr:sp macro="" textlink="">
      <xdr:nvSpPr>
        <xdr:cNvPr id="4" name="Textfeld 3">
          <a:hlinkClick xmlns:r="http://schemas.openxmlformats.org/officeDocument/2006/relationships" r:id="rId2"/>
        </xdr:cNvPr>
        <xdr:cNvSpPr txBox="1"/>
      </xdr:nvSpPr>
      <xdr:spPr>
        <a:xfrm>
          <a:off x="4651130" y="6467475"/>
          <a:ext cx="981075" cy="457200"/>
        </a:xfrm>
        <a:prstGeom prst="rect">
          <a:avLst/>
        </a:prstGeom>
        <a:solidFill>
          <a:schemeClr val="lt1"/>
        </a:solidFill>
        <a:ln w="19050" cmpd="dbl">
          <a:solidFill>
            <a:srgbClr val="3399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>
              <a:solidFill>
                <a:srgbClr val="3399FF"/>
              </a:solidFill>
            </a:rPr>
            <a:t>zur Eingabe</a:t>
          </a:r>
          <a:r>
            <a:rPr lang="de-DE" sz="1100" baseline="0">
              <a:solidFill>
                <a:srgbClr val="3399FF"/>
              </a:solidFill>
            </a:rPr>
            <a:t> Kompost</a:t>
          </a:r>
          <a:endParaRPr lang="de-DE" sz="1100">
            <a:solidFill>
              <a:srgbClr val="3399FF"/>
            </a:solidFill>
          </a:endParaRPr>
        </a:p>
      </xdr:txBody>
    </xdr:sp>
    <xdr:clientData/>
  </xdr:twoCellAnchor>
  <xdr:twoCellAnchor>
    <xdr:from>
      <xdr:col>10</xdr:col>
      <xdr:colOff>57149</xdr:colOff>
      <xdr:row>17</xdr:row>
      <xdr:rowOff>95250</xdr:rowOff>
    </xdr:from>
    <xdr:to>
      <xdr:col>12</xdr:col>
      <xdr:colOff>228600</xdr:colOff>
      <xdr:row>18</xdr:row>
      <xdr:rowOff>209550</xdr:rowOff>
    </xdr:to>
    <xdr:sp macro="" textlink="">
      <xdr:nvSpPr>
        <xdr:cNvPr id="5" name="Textfeld 4">
          <a:hlinkClick xmlns:r="http://schemas.openxmlformats.org/officeDocument/2006/relationships" r:id="rId3"/>
        </xdr:cNvPr>
        <xdr:cNvSpPr txBox="1"/>
      </xdr:nvSpPr>
      <xdr:spPr>
        <a:xfrm>
          <a:off x="4591049" y="2857500"/>
          <a:ext cx="1133476" cy="457200"/>
        </a:xfrm>
        <a:prstGeom prst="rect">
          <a:avLst/>
        </a:prstGeom>
        <a:solidFill>
          <a:schemeClr val="lt1"/>
        </a:solidFill>
        <a:ln w="19050" cmpd="dbl">
          <a:solidFill>
            <a:srgbClr val="3399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>
              <a:solidFill>
                <a:srgbClr val="3399FF"/>
              </a:solidFill>
            </a:rPr>
            <a:t>Nmin-Werte Region abrufen</a:t>
          </a:r>
        </a:p>
      </xdr:txBody>
    </xdr:sp>
    <xdr:clientData/>
  </xdr:twoCellAnchor>
  <xdr:twoCellAnchor>
    <xdr:from>
      <xdr:col>10</xdr:col>
      <xdr:colOff>76198</xdr:colOff>
      <xdr:row>11</xdr:row>
      <xdr:rowOff>0</xdr:rowOff>
    </xdr:from>
    <xdr:to>
      <xdr:col>12</xdr:col>
      <xdr:colOff>238124</xdr:colOff>
      <xdr:row>11</xdr:row>
      <xdr:rowOff>266700</xdr:rowOff>
    </xdr:to>
    <xdr:sp macro="" textlink="">
      <xdr:nvSpPr>
        <xdr:cNvPr id="6" name="Textfeld 5">
          <a:hlinkClick xmlns:r="http://schemas.openxmlformats.org/officeDocument/2006/relationships" r:id="rId4"/>
        </xdr:cNvPr>
        <xdr:cNvSpPr txBox="1"/>
      </xdr:nvSpPr>
      <xdr:spPr>
        <a:xfrm>
          <a:off x="4610098" y="1771650"/>
          <a:ext cx="1123951" cy="266700"/>
        </a:xfrm>
        <a:prstGeom prst="rect">
          <a:avLst/>
        </a:prstGeom>
        <a:solidFill>
          <a:schemeClr val="lt1"/>
        </a:solidFill>
        <a:ln w="19050" cmpd="dbl">
          <a:solidFill>
            <a:srgbClr val="3399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>
              <a:solidFill>
                <a:srgbClr val="3399FF"/>
              </a:solidFill>
            </a:rPr>
            <a:t>zur</a:t>
          </a:r>
          <a:r>
            <a:rPr lang="de-DE" sz="1100" baseline="0">
              <a:solidFill>
                <a:srgbClr val="3399FF"/>
              </a:solidFill>
            </a:rPr>
            <a:t> Tab. Kultur</a:t>
          </a:r>
          <a:endParaRPr lang="de-DE" sz="1100">
            <a:solidFill>
              <a:srgbClr val="3399FF"/>
            </a:solidFill>
          </a:endParaRPr>
        </a:p>
      </xdr:txBody>
    </xdr:sp>
    <xdr:clientData/>
  </xdr:twoCellAnchor>
  <xdr:twoCellAnchor>
    <xdr:from>
      <xdr:col>10</xdr:col>
      <xdr:colOff>114300</xdr:colOff>
      <xdr:row>44</xdr:row>
      <xdr:rowOff>76200</xdr:rowOff>
    </xdr:from>
    <xdr:to>
      <xdr:col>12</xdr:col>
      <xdr:colOff>268275</xdr:colOff>
      <xdr:row>46</xdr:row>
      <xdr:rowOff>144150</xdr:rowOff>
    </xdr:to>
    <xdr:sp macro="" textlink="">
      <xdr:nvSpPr>
        <xdr:cNvPr id="7" name="Textfeld 6">
          <a:hlinkClick xmlns:r="http://schemas.openxmlformats.org/officeDocument/2006/relationships" r:id="rId5"/>
        </xdr:cNvPr>
        <xdr:cNvSpPr txBox="1"/>
      </xdr:nvSpPr>
      <xdr:spPr>
        <a:xfrm>
          <a:off x="4648200" y="8048625"/>
          <a:ext cx="1116000" cy="468000"/>
        </a:xfrm>
        <a:prstGeom prst="rect">
          <a:avLst/>
        </a:prstGeom>
        <a:solidFill>
          <a:schemeClr val="lt1"/>
        </a:solidFill>
        <a:ln w="19050" cmpd="dbl">
          <a:solidFill>
            <a:srgbClr val="3399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>
              <a:solidFill>
                <a:srgbClr val="3399FF"/>
              </a:solidFill>
            </a:rPr>
            <a:t>zum</a:t>
          </a:r>
          <a:r>
            <a:rPr lang="de-DE" sz="1100" baseline="0">
              <a:solidFill>
                <a:srgbClr val="3399FF"/>
              </a:solidFill>
            </a:rPr>
            <a:t> Phosphatbedarf</a:t>
          </a:r>
          <a:endParaRPr lang="de-DE" sz="1100">
            <a:solidFill>
              <a:srgbClr val="3399FF"/>
            </a:solidFill>
          </a:endParaRPr>
        </a:p>
      </xdr:txBody>
    </xdr:sp>
    <xdr:clientData/>
  </xdr:twoCellAnchor>
  <xdr:oneCellAnchor>
    <xdr:from>
      <xdr:col>2</xdr:col>
      <xdr:colOff>600075</xdr:colOff>
      <xdr:row>11</xdr:row>
      <xdr:rowOff>47625</xdr:rowOff>
    </xdr:from>
    <xdr:ext cx="3686175" cy="264560"/>
    <xdr:sp macro="" textlink="">
      <xdr:nvSpPr>
        <xdr:cNvPr id="8" name="Textfeld 7"/>
        <xdr:cNvSpPr txBox="1"/>
      </xdr:nvSpPr>
      <xdr:spPr>
        <a:xfrm>
          <a:off x="1476375" y="1819275"/>
          <a:ext cx="36861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100" b="1" baseline="0">
              <a:solidFill>
                <a:srgbClr val="FF0000"/>
              </a:solidFill>
            </a:rPr>
            <a:t>Achtung! Drogenertrag = Trockenmasse ohne Prozessabfall</a:t>
          </a:r>
          <a:endParaRPr lang="de-DE" sz="1100" b="1">
            <a:solidFill>
              <a:srgbClr val="FF0000"/>
            </a:solidFill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</xdr:colOff>
      <xdr:row>3</xdr:row>
      <xdr:rowOff>19051</xdr:rowOff>
    </xdr:from>
    <xdr:to>
      <xdr:col>11</xdr:col>
      <xdr:colOff>390525</xdr:colOff>
      <xdr:row>4</xdr:row>
      <xdr:rowOff>152400</xdr:rowOff>
    </xdr:to>
    <xdr:sp macro="" textlink="">
      <xdr:nvSpPr>
        <xdr:cNvPr id="2" name="Textfeld 1"/>
        <xdr:cNvSpPr txBox="1"/>
      </xdr:nvSpPr>
      <xdr:spPr>
        <a:xfrm>
          <a:off x="3695700" y="647701"/>
          <a:ext cx="2305050" cy="257174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200" b="1">
              <a:solidFill>
                <a:srgbClr val="FF0000"/>
              </a:solidFill>
            </a:rPr>
            <a:t>Alle grauen Felder ausfüllen!</a:t>
          </a:r>
        </a:p>
      </xdr:txBody>
    </xdr:sp>
    <xdr:clientData/>
  </xdr:twoCellAnchor>
  <xdr:twoCellAnchor>
    <xdr:from>
      <xdr:col>10</xdr:col>
      <xdr:colOff>9525</xdr:colOff>
      <xdr:row>20</xdr:row>
      <xdr:rowOff>95250</xdr:rowOff>
    </xdr:from>
    <xdr:to>
      <xdr:col>11</xdr:col>
      <xdr:colOff>381000</xdr:colOff>
      <xdr:row>20</xdr:row>
      <xdr:rowOff>552450</xdr:rowOff>
    </xdr:to>
    <xdr:sp macro="" textlink="">
      <xdr:nvSpPr>
        <xdr:cNvPr id="3" name="Textfeld 2">
          <a:hlinkClick xmlns:r="http://schemas.openxmlformats.org/officeDocument/2006/relationships" r:id="rId1"/>
        </xdr:cNvPr>
        <xdr:cNvSpPr txBox="1"/>
      </xdr:nvSpPr>
      <xdr:spPr>
        <a:xfrm>
          <a:off x="5095875" y="4943475"/>
          <a:ext cx="895350" cy="457200"/>
        </a:xfrm>
        <a:prstGeom prst="rect">
          <a:avLst/>
        </a:prstGeom>
        <a:solidFill>
          <a:schemeClr val="lt1"/>
        </a:solidFill>
        <a:ln w="19050" cmpd="dbl">
          <a:solidFill>
            <a:srgbClr val="3399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>
              <a:solidFill>
                <a:srgbClr val="3399FF"/>
              </a:solidFill>
            </a:rPr>
            <a:t>zurück zum N-Bedarf</a:t>
          </a:r>
        </a:p>
      </xdr:txBody>
    </xdr:sp>
    <xdr:clientData/>
  </xdr:twoCellAnchor>
  <xdr:twoCellAnchor>
    <xdr:from>
      <xdr:col>9</xdr:col>
      <xdr:colOff>257175</xdr:colOff>
      <xdr:row>8</xdr:row>
      <xdr:rowOff>381000</xdr:rowOff>
    </xdr:from>
    <xdr:to>
      <xdr:col>11</xdr:col>
      <xdr:colOff>419101</xdr:colOff>
      <xdr:row>9</xdr:row>
      <xdr:rowOff>228600</xdr:rowOff>
    </xdr:to>
    <xdr:sp macro="" textlink="">
      <xdr:nvSpPr>
        <xdr:cNvPr id="4" name="Textfeld 3">
          <a:hlinkClick xmlns:r="http://schemas.openxmlformats.org/officeDocument/2006/relationships" r:id="rId2"/>
        </xdr:cNvPr>
        <xdr:cNvSpPr txBox="1"/>
      </xdr:nvSpPr>
      <xdr:spPr>
        <a:xfrm>
          <a:off x="4905375" y="1809750"/>
          <a:ext cx="1123951" cy="266700"/>
        </a:xfrm>
        <a:prstGeom prst="rect">
          <a:avLst/>
        </a:prstGeom>
        <a:solidFill>
          <a:schemeClr val="lt1"/>
        </a:solidFill>
        <a:ln w="19050" cmpd="dbl">
          <a:solidFill>
            <a:srgbClr val="3399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>
              <a:solidFill>
                <a:srgbClr val="3399FF"/>
              </a:solidFill>
            </a:rPr>
            <a:t>zur</a:t>
          </a:r>
          <a:r>
            <a:rPr lang="de-DE" sz="1100" baseline="0">
              <a:solidFill>
                <a:srgbClr val="3399FF"/>
              </a:solidFill>
            </a:rPr>
            <a:t> Tab. Kultur</a:t>
          </a:r>
          <a:endParaRPr lang="de-DE" sz="1100">
            <a:solidFill>
              <a:srgbClr val="3399FF"/>
            </a:solidFill>
          </a:endParaRPr>
        </a:p>
      </xdr:txBody>
    </xdr:sp>
    <xdr:clientData/>
  </xdr:twoCellAnchor>
  <xdr:oneCellAnchor>
    <xdr:from>
      <xdr:col>4</xdr:col>
      <xdr:colOff>933450</xdr:colOff>
      <xdr:row>8</xdr:row>
      <xdr:rowOff>285750</xdr:rowOff>
    </xdr:from>
    <xdr:ext cx="2333625" cy="436786"/>
    <xdr:sp macro="" textlink="">
      <xdr:nvSpPr>
        <xdr:cNvPr id="6" name="Textfeld 5"/>
        <xdr:cNvSpPr txBox="1"/>
      </xdr:nvSpPr>
      <xdr:spPr>
        <a:xfrm>
          <a:off x="2724150" y="1714500"/>
          <a:ext cx="2333625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100" b="1" baseline="0">
              <a:solidFill>
                <a:srgbClr val="FF0000"/>
              </a:solidFill>
            </a:rPr>
            <a:t>Achtung! Drogenertrag = Trockenmasse ohne Prozessabfall</a:t>
          </a:r>
          <a:endParaRPr lang="de-DE" sz="1100" b="1">
            <a:solidFill>
              <a:srgbClr val="FF0000"/>
            </a:solidFill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857250</xdr:colOff>
      <xdr:row>3</xdr:row>
      <xdr:rowOff>9526</xdr:rowOff>
    </xdr:from>
    <xdr:to>
      <xdr:col>9</xdr:col>
      <xdr:colOff>438150</xdr:colOff>
      <xdr:row>4</xdr:row>
      <xdr:rowOff>142875</xdr:rowOff>
    </xdr:to>
    <xdr:sp macro="" textlink="">
      <xdr:nvSpPr>
        <xdr:cNvPr id="2" name="Textfeld 1"/>
        <xdr:cNvSpPr txBox="1"/>
      </xdr:nvSpPr>
      <xdr:spPr>
        <a:xfrm>
          <a:off x="3876675" y="638176"/>
          <a:ext cx="2114550" cy="257174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200" b="1">
              <a:solidFill>
                <a:srgbClr val="FF0000"/>
              </a:solidFill>
            </a:rPr>
            <a:t>Alle grauen Felder ausfüllen!</a:t>
          </a:r>
        </a:p>
      </xdr:txBody>
    </xdr:sp>
    <xdr:clientData/>
  </xdr:twoCellAnchor>
  <xdr:twoCellAnchor>
    <xdr:from>
      <xdr:col>7</xdr:col>
      <xdr:colOff>304799</xdr:colOff>
      <xdr:row>26</xdr:row>
      <xdr:rowOff>76200</xdr:rowOff>
    </xdr:from>
    <xdr:to>
      <xdr:col>9</xdr:col>
      <xdr:colOff>342900</xdr:colOff>
      <xdr:row>28</xdr:row>
      <xdr:rowOff>137013</xdr:rowOff>
    </xdr:to>
    <xdr:sp macro="" textlink="">
      <xdr:nvSpPr>
        <xdr:cNvPr id="3" name="Textfeld 2">
          <a:hlinkClick xmlns:r="http://schemas.openxmlformats.org/officeDocument/2006/relationships" r:id="rId1"/>
        </xdr:cNvPr>
        <xdr:cNvSpPr txBox="1"/>
      </xdr:nvSpPr>
      <xdr:spPr>
        <a:xfrm>
          <a:off x="4838699" y="4448175"/>
          <a:ext cx="1000126" cy="460863"/>
        </a:xfrm>
        <a:prstGeom prst="rect">
          <a:avLst/>
        </a:prstGeom>
        <a:solidFill>
          <a:schemeClr val="lt1"/>
        </a:solidFill>
        <a:ln w="19050" cmpd="dbl">
          <a:solidFill>
            <a:srgbClr val="3399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>
              <a:solidFill>
                <a:srgbClr val="3399FF"/>
              </a:solidFill>
            </a:rPr>
            <a:t>zur</a:t>
          </a:r>
          <a:r>
            <a:rPr lang="de-DE" sz="1100" baseline="0">
              <a:solidFill>
                <a:srgbClr val="3399FF"/>
              </a:solidFill>
            </a:rPr>
            <a:t> Eingabe organ. Dünger</a:t>
          </a:r>
          <a:endParaRPr lang="de-DE" sz="1100">
            <a:solidFill>
              <a:srgbClr val="3399FF"/>
            </a:solidFill>
          </a:endParaRPr>
        </a:p>
      </xdr:txBody>
    </xdr:sp>
    <xdr:clientData/>
  </xdr:twoCellAnchor>
  <xdr:twoCellAnchor>
    <xdr:from>
      <xdr:col>7</xdr:col>
      <xdr:colOff>298205</xdr:colOff>
      <xdr:row>36</xdr:row>
      <xdr:rowOff>76200</xdr:rowOff>
    </xdr:from>
    <xdr:to>
      <xdr:col>9</xdr:col>
      <xdr:colOff>317255</xdr:colOff>
      <xdr:row>38</xdr:row>
      <xdr:rowOff>133350</xdr:rowOff>
    </xdr:to>
    <xdr:sp macro="" textlink="">
      <xdr:nvSpPr>
        <xdr:cNvPr id="4" name="Textfeld 3">
          <a:hlinkClick xmlns:r="http://schemas.openxmlformats.org/officeDocument/2006/relationships" r:id="rId2"/>
        </xdr:cNvPr>
        <xdr:cNvSpPr txBox="1"/>
      </xdr:nvSpPr>
      <xdr:spPr>
        <a:xfrm>
          <a:off x="4832105" y="6448425"/>
          <a:ext cx="981075" cy="457200"/>
        </a:xfrm>
        <a:prstGeom prst="rect">
          <a:avLst/>
        </a:prstGeom>
        <a:solidFill>
          <a:schemeClr val="lt1"/>
        </a:solidFill>
        <a:ln w="19050" cmpd="dbl">
          <a:solidFill>
            <a:srgbClr val="3399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>
              <a:solidFill>
                <a:srgbClr val="3399FF"/>
              </a:solidFill>
            </a:rPr>
            <a:t>zur Eingabe</a:t>
          </a:r>
          <a:r>
            <a:rPr lang="de-DE" sz="1100" baseline="0">
              <a:solidFill>
                <a:srgbClr val="3399FF"/>
              </a:solidFill>
            </a:rPr>
            <a:t> Kompost</a:t>
          </a:r>
          <a:endParaRPr lang="de-DE" sz="1100">
            <a:solidFill>
              <a:srgbClr val="3399FF"/>
            </a:solidFill>
          </a:endParaRPr>
        </a:p>
      </xdr:txBody>
    </xdr:sp>
    <xdr:clientData/>
  </xdr:twoCellAnchor>
  <xdr:twoCellAnchor>
    <xdr:from>
      <xdr:col>7</xdr:col>
      <xdr:colOff>219074</xdr:colOff>
      <xdr:row>17</xdr:row>
      <xdr:rowOff>85725</xdr:rowOff>
    </xdr:from>
    <xdr:to>
      <xdr:col>9</xdr:col>
      <xdr:colOff>390525</xdr:colOff>
      <xdr:row>18</xdr:row>
      <xdr:rowOff>200025</xdr:rowOff>
    </xdr:to>
    <xdr:sp macro="" textlink="">
      <xdr:nvSpPr>
        <xdr:cNvPr id="5" name="Textfeld 4">
          <a:hlinkClick xmlns:r="http://schemas.openxmlformats.org/officeDocument/2006/relationships" r:id="rId3"/>
        </xdr:cNvPr>
        <xdr:cNvSpPr txBox="1"/>
      </xdr:nvSpPr>
      <xdr:spPr>
        <a:xfrm>
          <a:off x="4752974" y="2847975"/>
          <a:ext cx="1133476" cy="457200"/>
        </a:xfrm>
        <a:prstGeom prst="rect">
          <a:avLst/>
        </a:prstGeom>
        <a:solidFill>
          <a:schemeClr val="lt1"/>
        </a:solidFill>
        <a:ln w="19050" cmpd="dbl">
          <a:solidFill>
            <a:srgbClr val="3399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>
              <a:solidFill>
                <a:srgbClr val="3399FF"/>
              </a:solidFill>
            </a:rPr>
            <a:t>Nmin-Werte Region abrufen</a:t>
          </a:r>
        </a:p>
      </xdr:txBody>
    </xdr:sp>
    <xdr:clientData/>
  </xdr:twoCellAnchor>
  <xdr:twoCellAnchor>
    <xdr:from>
      <xdr:col>7</xdr:col>
      <xdr:colOff>219073</xdr:colOff>
      <xdr:row>11</xdr:row>
      <xdr:rowOff>9525</xdr:rowOff>
    </xdr:from>
    <xdr:to>
      <xdr:col>9</xdr:col>
      <xdr:colOff>380999</xdr:colOff>
      <xdr:row>11</xdr:row>
      <xdr:rowOff>276225</xdr:rowOff>
    </xdr:to>
    <xdr:sp macro="" textlink="">
      <xdr:nvSpPr>
        <xdr:cNvPr id="6" name="Textfeld 5">
          <a:hlinkClick xmlns:r="http://schemas.openxmlformats.org/officeDocument/2006/relationships" r:id="rId4"/>
        </xdr:cNvPr>
        <xdr:cNvSpPr txBox="1"/>
      </xdr:nvSpPr>
      <xdr:spPr>
        <a:xfrm>
          <a:off x="4752973" y="1781175"/>
          <a:ext cx="1123951" cy="266700"/>
        </a:xfrm>
        <a:prstGeom prst="rect">
          <a:avLst/>
        </a:prstGeom>
        <a:solidFill>
          <a:schemeClr val="lt1"/>
        </a:solidFill>
        <a:ln w="19050" cmpd="dbl">
          <a:solidFill>
            <a:srgbClr val="3399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>
              <a:solidFill>
                <a:srgbClr val="3399FF"/>
              </a:solidFill>
            </a:rPr>
            <a:t>zur</a:t>
          </a:r>
          <a:r>
            <a:rPr lang="de-DE" sz="1100" baseline="0">
              <a:solidFill>
                <a:srgbClr val="3399FF"/>
              </a:solidFill>
            </a:rPr>
            <a:t> Tab. Kultur</a:t>
          </a:r>
          <a:endParaRPr lang="de-DE" sz="1100">
            <a:solidFill>
              <a:srgbClr val="3399FF"/>
            </a:solidFill>
          </a:endParaRPr>
        </a:p>
      </xdr:txBody>
    </xdr:sp>
    <xdr:clientData/>
  </xdr:twoCellAnchor>
  <xdr:twoCellAnchor>
    <xdr:from>
      <xdr:col>7</xdr:col>
      <xdr:colOff>200025</xdr:colOff>
      <xdr:row>44</xdr:row>
      <xdr:rowOff>85725</xdr:rowOff>
    </xdr:from>
    <xdr:to>
      <xdr:col>9</xdr:col>
      <xdr:colOff>354000</xdr:colOff>
      <xdr:row>46</xdr:row>
      <xdr:rowOff>153675</xdr:rowOff>
    </xdr:to>
    <xdr:sp macro="" textlink="">
      <xdr:nvSpPr>
        <xdr:cNvPr id="7" name="Textfeld 6">
          <a:hlinkClick xmlns:r="http://schemas.openxmlformats.org/officeDocument/2006/relationships" r:id="rId5"/>
        </xdr:cNvPr>
        <xdr:cNvSpPr txBox="1"/>
      </xdr:nvSpPr>
      <xdr:spPr>
        <a:xfrm>
          <a:off x="4733925" y="8058150"/>
          <a:ext cx="1116000" cy="468000"/>
        </a:xfrm>
        <a:prstGeom prst="rect">
          <a:avLst/>
        </a:prstGeom>
        <a:solidFill>
          <a:schemeClr val="lt1"/>
        </a:solidFill>
        <a:ln w="19050" cmpd="dbl">
          <a:solidFill>
            <a:srgbClr val="3399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>
              <a:solidFill>
                <a:srgbClr val="3399FF"/>
              </a:solidFill>
            </a:rPr>
            <a:t>zum</a:t>
          </a:r>
          <a:r>
            <a:rPr lang="de-DE" sz="1100" baseline="0">
              <a:solidFill>
                <a:srgbClr val="3399FF"/>
              </a:solidFill>
            </a:rPr>
            <a:t> Phosphatbedarf</a:t>
          </a:r>
          <a:endParaRPr lang="de-DE" sz="1100">
            <a:solidFill>
              <a:srgbClr val="3399FF"/>
            </a:solidFill>
          </a:endParaRPr>
        </a:p>
      </xdr:txBody>
    </xdr:sp>
    <xdr:clientData/>
  </xdr:twoCellAnchor>
  <xdr:twoCellAnchor>
    <xdr:from>
      <xdr:col>5</xdr:col>
      <xdr:colOff>219076</xdr:colOff>
      <xdr:row>17</xdr:row>
      <xdr:rowOff>66673</xdr:rowOff>
    </xdr:from>
    <xdr:to>
      <xdr:col>7</xdr:col>
      <xdr:colOff>123825</xdr:colOff>
      <xdr:row>21</xdr:row>
      <xdr:rowOff>190500</xdr:rowOff>
    </xdr:to>
    <xdr:sp macro="" textlink="">
      <xdr:nvSpPr>
        <xdr:cNvPr id="8" name="Textfeld 7">
          <a:hlinkClick xmlns:r="http://schemas.openxmlformats.org/officeDocument/2006/relationships" r:id="rId6"/>
        </xdr:cNvPr>
        <xdr:cNvSpPr txBox="1"/>
      </xdr:nvSpPr>
      <xdr:spPr>
        <a:xfrm>
          <a:off x="2914651" y="2828923"/>
          <a:ext cx="1743074" cy="1133477"/>
        </a:xfrm>
        <a:prstGeom prst="rect">
          <a:avLst/>
        </a:prstGeom>
        <a:solidFill>
          <a:schemeClr val="lt1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 b="0">
              <a:solidFill>
                <a:srgbClr val="FF0000"/>
              </a:solidFill>
            </a:rPr>
            <a:t>Bitte</a:t>
          </a:r>
          <a:r>
            <a:rPr lang="de-DE" sz="1100" b="0" baseline="0">
              <a:solidFill>
                <a:srgbClr val="FF0000"/>
              </a:solidFill>
            </a:rPr>
            <a:t> beachten Sie im Ackerbau und Weinbau auch die Programme der zuständigen Abteilungen. </a:t>
          </a:r>
          <a:r>
            <a:rPr lang="de-DE" sz="1100" b="1" baseline="0">
              <a:solidFill>
                <a:srgbClr val="FF0000"/>
              </a:solidFill>
            </a:rPr>
            <a:t>Klicken Sie zum Download auf dieses Feld.</a:t>
          </a:r>
          <a:endParaRPr lang="de-DE" sz="1100" b="1">
            <a:solidFill>
              <a:srgbClr val="FF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</xdr:colOff>
      <xdr:row>3</xdr:row>
      <xdr:rowOff>19051</xdr:rowOff>
    </xdr:from>
    <xdr:to>
      <xdr:col>11</xdr:col>
      <xdr:colOff>390525</xdr:colOff>
      <xdr:row>4</xdr:row>
      <xdr:rowOff>152400</xdr:rowOff>
    </xdr:to>
    <xdr:sp macro="" textlink="">
      <xdr:nvSpPr>
        <xdr:cNvPr id="2" name="Textfeld 1"/>
        <xdr:cNvSpPr txBox="1"/>
      </xdr:nvSpPr>
      <xdr:spPr>
        <a:xfrm>
          <a:off x="3695700" y="647701"/>
          <a:ext cx="2305050" cy="257174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200" b="1">
              <a:solidFill>
                <a:srgbClr val="FF0000"/>
              </a:solidFill>
            </a:rPr>
            <a:t>Alle grauen Felder ausfüllen!</a:t>
          </a:r>
        </a:p>
      </xdr:txBody>
    </xdr:sp>
    <xdr:clientData/>
  </xdr:twoCellAnchor>
  <xdr:twoCellAnchor>
    <xdr:from>
      <xdr:col>10</xdr:col>
      <xdr:colOff>9525</xdr:colOff>
      <xdr:row>20</xdr:row>
      <xdr:rowOff>95250</xdr:rowOff>
    </xdr:from>
    <xdr:to>
      <xdr:col>11</xdr:col>
      <xdr:colOff>381000</xdr:colOff>
      <xdr:row>20</xdr:row>
      <xdr:rowOff>552450</xdr:rowOff>
    </xdr:to>
    <xdr:sp macro="" textlink="">
      <xdr:nvSpPr>
        <xdr:cNvPr id="3" name="Textfeld 2">
          <a:hlinkClick xmlns:r="http://schemas.openxmlformats.org/officeDocument/2006/relationships" r:id="rId1"/>
        </xdr:cNvPr>
        <xdr:cNvSpPr txBox="1"/>
      </xdr:nvSpPr>
      <xdr:spPr>
        <a:xfrm>
          <a:off x="6019800" y="4152900"/>
          <a:ext cx="895350" cy="457200"/>
        </a:xfrm>
        <a:prstGeom prst="rect">
          <a:avLst/>
        </a:prstGeom>
        <a:solidFill>
          <a:schemeClr val="lt1"/>
        </a:solidFill>
        <a:ln w="19050" cmpd="dbl">
          <a:solidFill>
            <a:srgbClr val="3399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>
              <a:solidFill>
                <a:srgbClr val="3399FF"/>
              </a:solidFill>
            </a:rPr>
            <a:t>zurück zum N-Bedarf</a:t>
          </a:r>
        </a:p>
      </xdr:txBody>
    </xdr:sp>
    <xdr:clientData/>
  </xdr:twoCellAnchor>
  <xdr:twoCellAnchor>
    <xdr:from>
      <xdr:col>3</xdr:col>
      <xdr:colOff>85725</xdr:colOff>
      <xdr:row>8</xdr:row>
      <xdr:rowOff>228601</xdr:rowOff>
    </xdr:from>
    <xdr:to>
      <xdr:col>11</xdr:col>
      <xdr:colOff>209549</xdr:colOff>
      <xdr:row>9</xdr:row>
      <xdr:rowOff>190500</xdr:rowOff>
    </xdr:to>
    <xdr:sp macro="" textlink="">
      <xdr:nvSpPr>
        <xdr:cNvPr id="4" name="Textfeld 3">
          <a:hlinkClick xmlns:r="http://schemas.openxmlformats.org/officeDocument/2006/relationships" r:id="rId2"/>
        </xdr:cNvPr>
        <xdr:cNvSpPr txBox="1"/>
      </xdr:nvSpPr>
      <xdr:spPr>
        <a:xfrm>
          <a:off x="1685925" y="1657351"/>
          <a:ext cx="4133849" cy="457199"/>
        </a:xfrm>
        <a:prstGeom prst="rect">
          <a:avLst/>
        </a:prstGeom>
        <a:solidFill>
          <a:schemeClr val="lt1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 b="0">
              <a:solidFill>
                <a:srgbClr val="FF0000"/>
              </a:solidFill>
            </a:rPr>
            <a:t>Bitte</a:t>
          </a:r>
          <a:r>
            <a:rPr lang="de-DE" sz="1100" b="0" baseline="0">
              <a:solidFill>
                <a:srgbClr val="FF0000"/>
              </a:solidFill>
            </a:rPr>
            <a:t> beachten Sie im Ackerbau und Weinbau die Programme der zuständigen Abteilungen. </a:t>
          </a:r>
          <a:r>
            <a:rPr lang="de-DE" sz="1100" b="1" baseline="0">
              <a:solidFill>
                <a:srgbClr val="FF0000"/>
              </a:solidFill>
            </a:rPr>
            <a:t>Klicken Sie zum Download auf dieses Feld.</a:t>
          </a:r>
          <a:endParaRPr lang="de-DE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228600</xdr:colOff>
      <xdr:row>11</xdr:row>
      <xdr:rowOff>104775</xdr:rowOff>
    </xdr:from>
    <xdr:to>
      <xdr:col>11</xdr:col>
      <xdr:colOff>390526</xdr:colOff>
      <xdr:row>12</xdr:row>
      <xdr:rowOff>76200</xdr:rowOff>
    </xdr:to>
    <xdr:sp macro="" textlink="">
      <xdr:nvSpPr>
        <xdr:cNvPr id="5" name="Textfeld 4">
          <a:hlinkClick xmlns:r="http://schemas.openxmlformats.org/officeDocument/2006/relationships" r:id="rId3"/>
        </xdr:cNvPr>
        <xdr:cNvSpPr txBox="1"/>
      </xdr:nvSpPr>
      <xdr:spPr>
        <a:xfrm>
          <a:off x="4876800" y="2619375"/>
          <a:ext cx="1123951" cy="266700"/>
        </a:xfrm>
        <a:prstGeom prst="rect">
          <a:avLst/>
        </a:prstGeom>
        <a:solidFill>
          <a:schemeClr val="lt1"/>
        </a:solidFill>
        <a:ln w="19050" cmpd="dbl">
          <a:solidFill>
            <a:srgbClr val="3399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>
              <a:solidFill>
                <a:srgbClr val="3399FF"/>
              </a:solidFill>
            </a:rPr>
            <a:t>zur</a:t>
          </a:r>
          <a:r>
            <a:rPr lang="de-DE" sz="1100" baseline="0">
              <a:solidFill>
                <a:srgbClr val="3399FF"/>
              </a:solidFill>
            </a:rPr>
            <a:t> Tab. Kultur</a:t>
          </a:r>
          <a:endParaRPr lang="de-DE" sz="1100">
            <a:solidFill>
              <a:srgbClr val="3399FF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161925</xdr:rowOff>
    </xdr:from>
    <xdr:to>
      <xdr:col>0</xdr:col>
      <xdr:colOff>1143000</xdr:colOff>
      <xdr:row>0</xdr:row>
      <xdr:rowOff>619125</xdr:rowOff>
    </xdr:to>
    <xdr:sp macro="" textlink="">
      <xdr:nvSpPr>
        <xdr:cNvPr id="2" name="Textfeld 1">
          <a:hlinkClick xmlns:r="http://schemas.openxmlformats.org/officeDocument/2006/relationships" r:id="rId1"/>
        </xdr:cNvPr>
        <xdr:cNvSpPr txBox="1"/>
      </xdr:nvSpPr>
      <xdr:spPr>
        <a:xfrm>
          <a:off x="133350" y="161925"/>
          <a:ext cx="1009650" cy="457200"/>
        </a:xfrm>
        <a:prstGeom prst="rect">
          <a:avLst/>
        </a:prstGeom>
        <a:solidFill>
          <a:schemeClr val="lt1"/>
        </a:solidFill>
        <a:ln w="19050" cmpd="dbl">
          <a:solidFill>
            <a:srgbClr val="3399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>
              <a:solidFill>
                <a:srgbClr val="3399FF"/>
              </a:solidFill>
            </a:rPr>
            <a:t>zurück zur </a:t>
          </a:r>
        </a:p>
        <a:p>
          <a:pPr algn="ctr"/>
          <a:r>
            <a:rPr lang="de-DE" sz="1100">
              <a:solidFill>
                <a:srgbClr val="3399FF"/>
              </a:solidFill>
            </a:rPr>
            <a:t>N-Berechnung</a:t>
          </a:r>
        </a:p>
      </xdr:txBody>
    </xdr:sp>
    <xdr:clientData/>
  </xdr:twoCellAnchor>
  <xdr:twoCellAnchor>
    <xdr:from>
      <xdr:col>0</xdr:col>
      <xdr:colOff>1266825</xdr:colOff>
      <xdr:row>0</xdr:row>
      <xdr:rowOff>152400</xdr:rowOff>
    </xdr:from>
    <xdr:to>
      <xdr:col>0</xdr:col>
      <xdr:colOff>2274825</xdr:colOff>
      <xdr:row>0</xdr:row>
      <xdr:rowOff>620400</xdr:rowOff>
    </xdr:to>
    <xdr:sp macro="" textlink="">
      <xdr:nvSpPr>
        <xdr:cNvPr id="3" name="Textfeld 2">
          <a:hlinkClick xmlns:r="http://schemas.openxmlformats.org/officeDocument/2006/relationships" r:id="rId2"/>
        </xdr:cNvPr>
        <xdr:cNvSpPr txBox="1"/>
      </xdr:nvSpPr>
      <xdr:spPr>
        <a:xfrm>
          <a:off x="1266825" y="152400"/>
          <a:ext cx="1008000" cy="468000"/>
        </a:xfrm>
        <a:prstGeom prst="rect">
          <a:avLst/>
        </a:prstGeom>
        <a:solidFill>
          <a:schemeClr val="lt1"/>
        </a:solidFill>
        <a:ln w="19050" cmpd="dbl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>
              <a:solidFill>
                <a:srgbClr val="7030A0"/>
              </a:solidFill>
            </a:rPr>
            <a:t>zurück zur </a:t>
          </a:r>
        </a:p>
        <a:p>
          <a:pPr algn="ctr"/>
          <a:r>
            <a:rPr lang="de-DE" sz="1100">
              <a:solidFill>
                <a:srgbClr val="7030A0"/>
              </a:solidFill>
            </a:rPr>
            <a:t>P-Berechnung</a:t>
          </a:r>
        </a:p>
      </xdr:txBody>
    </xdr:sp>
    <xdr:clientData/>
  </xdr:twoCellAnchor>
  <xdr:twoCellAnchor>
    <xdr:from>
      <xdr:col>0</xdr:col>
      <xdr:colOff>0</xdr:colOff>
      <xdr:row>0</xdr:row>
      <xdr:rowOff>619125</xdr:rowOff>
    </xdr:from>
    <xdr:to>
      <xdr:col>0</xdr:col>
      <xdr:colOff>2476500</xdr:colOff>
      <xdr:row>0</xdr:row>
      <xdr:rowOff>866775</xdr:rowOff>
    </xdr:to>
    <xdr:sp macro="" textlink="">
      <xdr:nvSpPr>
        <xdr:cNvPr id="6" name="Textfeld 5"/>
        <xdr:cNvSpPr txBox="1"/>
      </xdr:nvSpPr>
      <xdr:spPr>
        <a:xfrm>
          <a:off x="0" y="619125"/>
          <a:ext cx="247650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0">
              <a:solidFill>
                <a:srgbClr val="FF0000"/>
              </a:solidFill>
            </a:rPr>
            <a:t>Stand: Februar 2024, Änderungen</a:t>
          </a:r>
          <a:r>
            <a:rPr lang="de-DE" sz="1100" b="0" baseline="0">
              <a:solidFill>
                <a:srgbClr val="FF0000"/>
              </a:solidFill>
            </a:rPr>
            <a:t> rot</a:t>
          </a:r>
        </a:p>
      </xdr:txBody>
    </xdr:sp>
    <xdr:clientData/>
  </xdr:twoCellAnchor>
  <xdr:twoCellAnchor>
    <xdr:from>
      <xdr:col>0</xdr:col>
      <xdr:colOff>0</xdr:colOff>
      <xdr:row>0</xdr:row>
      <xdr:rowOff>838199</xdr:rowOff>
    </xdr:from>
    <xdr:to>
      <xdr:col>1</xdr:col>
      <xdr:colOff>66675</xdr:colOff>
      <xdr:row>0</xdr:row>
      <xdr:rowOff>1247774</xdr:rowOff>
    </xdr:to>
    <xdr:sp macro="" textlink="">
      <xdr:nvSpPr>
        <xdr:cNvPr id="7" name="Textfeld 6"/>
        <xdr:cNvSpPr txBox="1"/>
      </xdr:nvSpPr>
      <xdr:spPr>
        <a:xfrm>
          <a:off x="0" y="838199"/>
          <a:ext cx="2867025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 b="0" i="1">
              <a:solidFill>
                <a:sysClr val="windowText" lastClr="000000"/>
              </a:solidFill>
            </a:rPr>
            <a:t>Ertragsniveau bezieht</a:t>
          </a:r>
          <a:r>
            <a:rPr lang="de-DE" sz="900" b="0" i="1" baseline="0">
              <a:solidFill>
                <a:sysClr val="windowText" lastClr="000000"/>
              </a:solidFill>
            </a:rPr>
            <a:t> sich nur auf das Haupternteprodukt </a:t>
          </a:r>
          <a:r>
            <a:rPr lang="de-DE" sz="9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auch bei Nebenprodukternte </a:t>
          </a:r>
          <a:endParaRPr lang="de-DE" sz="900" b="0" i="1" baseline="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66673</xdr:colOff>
      <xdr:row>0</xdr:row>
      <xdr:rowOff>104775</xdr:rowOff>
    </xdr:from>
    <xdr:to>
      <xdr:col>0</xdr:col>
      <xdr:colOff>1074673</xdr:colOff>
      <xdr:row>0</xdr:row>
      <xdr:rowOff>572775</xdr:rowOff>
    </xdr:to>
    <xdr:sp macro="" textlink="">
      <xdr:nvSpPr>
        <xdr:cNvPr id="2" name="Textfeld 1">
          <a:hlinkClick xmlns:r="http://schemas.openxmlformats.org/officeDocument/2006/relationships" r:id="rId1"/>
        </xdr:cNvPr>
        <xdr:cNvSpPr txBox="1"/>
      </xdr:nvSpPr>
      <xdr:spPr>
        <a:xfrm>
          <a:off x="66673" y="104775"/>
          <a:ext cx="1008000" cy="468000"/>
        </a:xfrm>
        <a:prstGeom prst="rect">
          <a:avLst/>
        </a:prstGeom>
        <a:solidFill>
          <a:schemeClr val="lt1"/>
        </a:solidFill>
        <a:ln w="19050" cmpd="dbl">
          <a:solidFill>
            <a:srgbClr val="3399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>
              <a:solidFill>
                <a:srgbClr val="3399FF"/>
              </a:solidFill>
            </a:rPr>
            <a:t>zurück zur </a:t>
          </a:r>
        </a:p>
        <a:p>
          <a:pPr algn="ctr"/>
          <a:r>
            <a:rPr lang="de-DE" sz="1100">
              <a:solidFill>
                <a:srgbClr val="3399FF"/>
              </a:solidFill>
            </a:rPr>
            <a:t>N-Berechnung</a:t>
          </a:r>
        </a:p>
      </xdr:txBody>
    </xdr:sp>
    <xdr:clientData/>
  </xdr:twoCellAnchor>
  <xdr:twoCellAnchor>
    <xdr:from>
      <xdr:col>0</xdr:col>
      <xdr:colOff>1152523</xdr:colOff>
      <xdr:row>0</xdr:row>
      <xdr:rowOff>104775</xdr:rowOff>
    </xdr:from>
    <xdr:to>
      <xdr:col>0</xdr:col>
      <xdr:colOff>2160523</xdr:colOff>
      <xdr:row>0</xdr:row>
      <xdr:rowOff>572775</xdr:rowOff>
    </xdr:to>
    <xdr:sp macro="" textlink="">
      <xdr:nvSpPr>
        <xdr:cNvPr id="3" name="Textfeld 2">
          <a:hlinkClick xmlns:r="http://schemas.openxmlformats.org/officeDocument/2006/relationships" r:id="rId2"/>
        </xdr:cNvPr>
        <xdr:cNvSpPr txBox="1"/>
      </xdr:nvSpPr>
      <xdr:spPr>
        <a:xfrm>
          <a:off x="1152523" y="104775"/>
          <a:ext cx="1008000" cy="468000"/>
        </a:xfrm>
        <a:prstGeom prst="rect">
          <a:avLst/>
        </a:prstGeom>
        <a:solidFill>
          <a:schemeClr val="lt1"/>
        </a:solidFill>
        <a:ln w="19050" cmpd="dbl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>
              <a:solidFill>
                <a:srgbClr val="7030A0"/>
              </a:solidFill>
            </a:rPr>
            <a:t>zurück zur </a:t>
          </a:r>
        </a:p>
        <a:p>
          <a:pPr algn="ctr"/>
          <a:r>
            <a:rPr lang="de-DE" sz="1100">
              <a:solidFill>
                <a:srgbClr val="7030A0"/>
              </a:solidFill>
            </a:rPr>
            <a:t>P-Berechnung</a:t>
          </a:r>
        </a:p>
      </xdr:txBody>
    </xdr:sp>
    <xdr:clientData/>
  </xdr:twoCellAnchor>
  <xdr:twoCellAnchor>
    <xdr:from>
      <xdr:col>0</xdr:col>
      <xdr:colOff>0</xdr:colOff>
      <xdr:row>0</xdr:row>
      <xdr:rowOff>714375</xdr:rowOff>
    </xdr:from>
    <xdr:to>
      <xdr:col>0</xdr:col>
      <xdr:colOff>2476500</xdr:colOff>
      <xdr:row>0</xdr:row>
      <xdr:rowOff>962025</xdr:rowOff>
    </xdr:to>
    <xdr:sp macro="" textlink="">
      <xdr:nvSpPr>
        <xdr:cNvPr id="4" name="Textfeld 3"/>
        <xdr:cNvSpPr txBox="1"/>
      </xdr:nvSpPr>
      <xdr:spPr>
        <a:xfrm>
          <a:off x="0" y="714375"/>
          <a:ext cx="247650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050" b="0">
              <a:solidFill>
                <a:srgbClr val="FF0000"/>
              </a:solidFill>
            </a:rPr>
            <a:t>Stand: Februar 2024, Änderungen</a:t>
          </a:r>
          <a:r>
            <a:rPr lang="de-DE" sz="1050" b="0" baseline="0">
              <a:solidFill>
                <a:srgbClr val="FF0000"/>
              </a:solidFill>
            </a:rPr>
            <a:t> rot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95249</xdr:colOff>
      <xdr:row>0</xdr:row>
      <xdr:rowOff>85725</xdr:rowOff>
    </xdr:from>
    <xdr:to>
      <xdr:col>1</xdr:col>
      <xdr:colOff>1095374</xdr:colOff>
      <xdr:row>0</xdr:row>
      <xdr:rowOff>542925</xdr:rowOff>
    </xdr:to>
    <xdr:sp macro="" textlink="">
      <xdr:nvSpPr>
        <xdr:cNvPr id="3" name="Textfeld 2">
          <a:hlinkClick xmlns:r="http://schemas.openxmlformats.org/officeDocument/2006/relationships" r:id="rId1"/>
        </xdr:cNvPr>
        <xdr:cNvSpPr txBox="1"/>
      </xdr:nvSpPr>
      <xdr:spPr>
        <a:xfrm>
          <a:off x="95249" y="85725"/>
          <a:ext cx="1000125" cy="457200"/>
        </a:xfrm>
        <a:prstGeom prst="rect">
          <a:avLst/>
        </a:prstGeom>
        <a:solidFill>
          <a:schemeClr val="lt1"/>
        </a:solidFill>
        <a:ln w="19050" cmpd="dbl">
          <a:solidFill>
            <a:srgbClr val="3399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>
              <a:solidFill>
                <a:srgbClr val="3399FF"/>
              </a:solidFill>
            </a:rPr>
            <a:t>zurück zur </a:t>
          </a:r>
        </a:p>
        <a:p>
          <a:pPr algn="ctr"/>
          <a:r>
            <a:rPr lang="de-DE" sz="1100">
              <a:solidFill>
                <a:srgbClr val="3399FF"/>
              </a:solidFill>
            </a:rPr>
            <a:t>N-Berechnung</a:t>
          </a:r>
        </a:p>
      </xdr:txBody>
    </xdr:sp>
    <xdr:clientData/>
  </xdr:twoCellAnchor>
  <xdr:twoCellAnchor>
    <xdr:from>
      <xdr:col>1</xdr:col>
      <xdr:colOff>1219200</xdr:colOff>
      <xdr:row>0</xdr:row>
      <xdr:rowOff>85725</xdr:rowOff>
    </xdr:from>
    <xdr:to>
      <xdr:col>1</xdr:col>
      <xdr:colOff>2219325</xdr:colOff>
      <xdr:row>0</xdr:row>
      <xdr:rowOff>542925</xdr:rowOff>
    </xdr:to>
    <xdr:sp macro="" textlink="">
      <xdr:nvSpPr>
        <xdr:cNvPr id="4" name="Textfeld 3">
          <a:hlinkClick xmlns:r="http://schemas.openxmlformats.org/officeDocument/2006/relationships" r:id="rId2"/>
        </xdr:cNvPr>
        <xdr:cNvSpPr txBox="1"/>
      </xdr:nvSpPr>
      <xdr:spPr>
        <a:xfrm>
          <a:off x="1219200" y="85725"/>
          <a:ext cx="1000125" cy="457200"/>
        </a:xfrm>
        <a:prstGeom prst="rect">
          <a:avLst/>
        </a:prstGeom>
        <a:solidFill>
          <a:schemeClr val="lt1"/>
        </a:solidFill>
        <a:ln w="19050" cmpd="dbl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>
              <a:solidFill>
                <a:srgbClr val="7030A0"/>
              </a:solidFill>
            </a:rPr>
            <a:t>zurück zur </a:t>
          </a:r>
        </a:p>
        <a:p>
          <a:pPr algn="ctr"/>
          <a:r>
            <a:rPr lang="de-DE" sz="1100">
              <a:solidFill>
                <a:srgbClr val="7030A0"/>
              </a:solidFill>
            </a:rPr>
            <a:t>P-Berechnung</a:t>
          </a:r>
        </a:p>
      </xdr:txBody>
    </xdr:sp>
    <xdr:clientData/>
  </xdr:twoCellAnchor>
  <xdr:twoCellAnchor>
    <xdr:from>
      <xdr:col>0</xdr:col>
      <xdr:colOff>0</xdr:colOff>
      <xdr:row>0</xdr:row>
      <xdr:rowOff>600075</xdr:rowOff>
    </xdr:from>
    <xdr:to>
      <xdr:col>1</xdr:col>
      <xdr:colOff>2476500</xdr:colOff>
      <xdr:row>0</xdr:row>
      <xdr:rowOff>847725</xdr:rowOff>
    </xdr:to>
    <xdr:sp macro="" textlink="">
      <xdr:nvSpPr>
        <xdr:cNvPr id="5" name="Textfeld 4"/>
        <xdr:cNvSpPr txBox="1"/>
      </xdr:nvSpPr>
      <xdr:spPr>
        <a:xfrm>
          <a:off x="0" y="600075"/>
          <a:ext cx="247650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050" b="0">
              <a:solidFill>
                <a:srgbClr val="FF0000"/>
              </a:solidFill>
            </a:rPr>
            <a:t>Stand: Februar 2024, Änderungen</a:t>
          </a:r>
          <a:r>
            <a:rPr lang="de-DE" sz="1050" b="0" baseline="0">
              <a:solidFill>
                <a:srgbClr val="FF0000"/>
              </a:solidFill>
            </a:rPr>
            <a:t> rot</a:t>
          </a:r>
        </a:p>
      </xdr:txBody>
    </xdr:sp>
    <xdr:clientData/>
  </xdr:twoCellAnchor>
  <xdr:twoCellAnchor>
    <xdr:from>
      <xdr:col>0</xdr:col>
      <xdr:colOff>0</xdr:colOff>
      <xdr:row>0</xdr:row>
      <xdr:rowOff>809624</xdr:rowOff>
    </xdr:from>
    <xdr:to>
      <xdr:col>1</xdr:col>
      <xdr:colOff>2867025</xdr:colOff>
      <xdr:row>0</xdr:row>
      <xdr:rowOff>1219199</xdr:rowOff>
    </xdr:to>
    <xdr:sp macro="" textlink="">
      <xdr:nvSpPr>
        <xdr:cNvPr id="6" name="Textfeld 5"/>
        <xdr:cNvSpPr txBox="1"/>
      </xdr:nvSpPr>
      <xdr:spPr>
        <a:xfrm>
          <a:off x="0" y="809624"/>
          <a:ext cx="2867025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 b="0" i="1">
              <a:solidFill>
                <a:sysClr val="windowText" lastClr="000000"/>
              </a:solidFill>
            </a:rPr>
            <a:t>Ertragsniveau bezieht</a:t>
          </a:r>
          <a:r>
            <a:rPr lang="de-DE" sz="900" b="0" i="1" baseline="0">
              <a:solidFill>
                <a:sysClr val="windowText" lastClr="000000"/>
              </a:solidFill>
            </a:rPr>
            <a:t> sich nur auf das Haupternteprodukt </a:t>
          </a:r>
          <a:r>
            <a:rPr lang="de-DE" sz="9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auch bei Nebenprodukternte </a:t>
          </a:r>
          <a:endParaRPr lang="de-DE" sz="900" b="0" i="1" baseline="0">
            <a:solidFill>
              <a:sysClr val="windowText" lastClr="000000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9" name="Tabelle1210" displayName="Tabelle1210" ref="A1:AK42" totalsRowShown="0" headerRowDxfId="170" dataDxfId="169" headerRowCellStyle="Standard 2" dataCellStyle="Standard 2">
  <autoFilter ref="A1:AK42"/>
  <tableColumns count="37">
    <tableColumn id="1" name="Nährstoffgehalt mg/100g Boden" dataDxfId="168" dataCellStyle="Standard 2"/>
    <tableColumn id="2" name="P2O5 Bodengehaltsklasse " dataDxfId="167" dataCellStyle="Standard 2"/>
    <tableColumn id="3" name="P2O5 Boden-Zuschlag DüV Feldabfuhr kg/ha " dataDxfId="166" dataCellStyle="Standard 2"/>
    <tableColumn id="4" name="P2O5 Faktor Feldabfuhr Gefährdungsgebiet Landes-DüV RLP" dataDxfId="165" dataCellStyle="Standard 2"/>
    <tableColumn id="37" name="Spalte1" dataDxfId="164" dataCellStyle="Standard 2"/>
    <tableColumn id="5" name="Nährstoffgehalt mg/100g Boden1" dataDxfId="163" dataCellStyle="Standard 2"/>
    <tableColumn id="6" name="K2O Bodenart leicht" dataDxfId="162" dataCellStyle="Standard 2"/>
    <tableColumn id="7" name="K2O Nährstoffgehaltsklasse Boden leicht" dataDxfId="161" dataCellStyle="Standard 2"/>
    <tableColumn id="8" name="K2O Zuschlag Feldabfuhr kg/ha Boden leicht" dataDxfId="160" dataCellStyle="Standard 2"/>
    <tableColumn id="9" name="K2O Faktor Feldabfuhr Boden leicht" dataDxfId="159" dataCellStyle="Standard 2"/>
    <tableColumn id="10" name="Nährstoffgehalt mg/100g Boden2" dataDxfId="158" dataCellStyle="Standard 2"/>
    <tableColumn id="11" name="K2O Bodenart mittel" dataDxfId="157" dataCellStyle="Standard 2"/>
    <tableColumn id="12" name="K2O Nährstoffgehaltsklasse Boden mittel" dataDxfId="156" dataCellStyle="Standard 2"/>
    <tableColumn id="13" name="K2O Zuschlag Feldabfuhr kg/ha Boden mittel" dataDxfId="155" dataCellStyle="Standard 2"/>
    <tableColumn id="14" name="K2O Faktor Feldabfuhr Boden mittel" dataDxfId="154" dataCellStyle="Standard 2"/>
    <tableColumn id="15" name="Nährstoffgehalt mg/100g Boden3" dataDxfId="153" dataCellStyle="Standard 2"/>
    <tableColumn id="16" name="K2O Bodenart schwer" dataDxfId="152" dataCellStyle="Standard 2"/>
    <tableColumn id="17" name="K2O Nährstoffgehaltsklasse Boden schwer" dataDxfId="151" dataCellStyle="Standard 2"/>
    <tableColumn id="18" name="K2O Zuschlag Feldabfuhr kg/ha Boden schwer" dataDxfId="150" dataCellStyle="Standard 2"/>
    <tableColumn id="19" name="K2O Faktor Feldabfuhr Boden schwer" dataDxfId="149" dataCellStyle="Standard 2"/>
    <tableColumn id="20" name="Nährstoffgehalt mg/100g Boden4" dataDxfId="148" dataCellStyle="Standard 2"/>
    <tableColumn id="21" name="MgO Bodenart leicht" dataDxfId="147" dataCellStyle="Standard 2"/>
    <tableColumn id="22" name="MgO Nährstoffgehaltsklasse Boden leicht" dataDxfId="146" dataCellStyle="Standard 2"/>
    <tableColumn id="23" name="MgO Zuschlag Feldabfuhr kg/ha Boden leicht" dataDxfId="145" dataCellStyle="Standard 2"/>
    <tableColumn id="24" name="MgO Faktor Feldabfuhr Boden leicht" dataDxfId="144" dataCellStyle="Standard 2"/>
    <tableColumn id="25" name="Nährstoffgehalt mg/100g Boden5" dataDxfId="143" dataCellStyle="Standard 2"/>
    <tableColumn id="26" name="MgO Bodenart mittel" dataDxfId="142" dataCellStyle="Standard 2"/>
    <tableColumn id="27" name="MgO Nährstoffgehaltsklasse Boden mittel" dataDxfId="141" dataCellStyle="Standard 2"/>
    <tableColumn id="28" name="MgO Zuschlag Feldabfuhr kg/ha Boden mittel" dataDxfId="140" dataCellStyle="Standard 2"/>
    <tableColumn id="29" name="MgO Faktor Feldabfuhr Boden mittel" dataDxfId="139" dataCellStyle="Standard 2"/>
    <tableColumn id="30" name="Nährstoffgehalt mg/100g Boden6" dataDxfId="138" dataCellStyle="Standard 2"/>
    <tableColumn id="31" name="MgO Bodenart schwer" dataDxfId="137" dataCellStyle="Standard 2"/>
    <tableColumn id="32" name="MgO Nährstoffgehaltsklasse Boden schwer" dataDxfId="136" dataCellStyle="Standard 2"/>
    <tableColumn id="33" name="MgO Zuschlag Feldabfuhr kg/ha Boden schwer" dataDxfId="135" dataCellStyle="Standard 2"/>
    <tableColumn id="34" name="MgO Faktor Feldabfuhr Boden schwer" dataDxfId="134" dataCellStyle="Standard 2"/>
    <tableColumn id="35" name="Spalte24" dataDxfId="133" dataCellStyle="Standard 2"/>
    <tableColumn id="36" name="Bodenart" dataDxfId="132" dataCellStyle="Standard 2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id="5" name="Tabelle5" displayName="Tabelle5" ref="A1:B3" totalsRowShown="0" headerRowDxfId="38" dataDxfId="37">
  <autoFilter ref="A1:B3"/>
  <tableColumns count="2">
    <tableColumn id="1" name="Abdeckung Verfrühung" dataDxfId="36"/>
    <tableColumn id="2" name="N-Zuschlag kg/ha" dataDxfId="35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id="6" name="Tabelle6" displayName="Tabelle6" ref="A1:N540" totalsRowShown="0" headerRowDxfId="30" dataDxfId="29">
  <autoFilter ref="A1:N540"/>
  <tableColumns count="14">
    <tableColumn id="1" name="DuengerID" dataDxfId="28"/>
    <tableColumn id="2" name="Name" dataDxfId="27"/>
    <tableColumn id="3" name="Ausbring-einheit" dataDxfId="26"/>
    <tableColumn id="4" name="Ngesamt_x000a_kg FM/t, m³" dataDxfId="25"/>
    <tableColumn id="5" name="Nmineralisch _x000a_kg FM/t, m³ " dataDxfId="24"/>
    <tableColumn id="6" name="P2O5_x000a_kg FM/t, m³ " dataDxfId="23"/>
    <tableColumn id="7" name="K2O_x000a_kg FM/t, m³ " dataDxfId="22"/>
    <tableColumn id="8" name="MgO_x000a_kg FM/t, m³ " dataDxfId="21"/>
    <tableColumn id="9" name="Mindest-wirksamkeit Ausbringjahr_x000a_% Ngesamt" dataDxfId="20"/>
    <tableColumn id="10" name="DüV-Bezeichnung" dataDxfId="19"/>
    <tableColumn id="11" name="Cnorg" dataDxfId="18"/>
    <tableColumn id="12" name="minCN" dataDxfId="17"/>
    <tableColumn id="13" name="maxCN" dataDxfId="16"/>
    <tableColumn id="14" name="Einheit _x000a_N-Expert" dataDxfId="15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id="7" name="Tabelle7" displayName="Tabelle7" ref="A1:M48" totalsRowShown="0" headerRowDxfId="14" dataDxfId="13">
  <autoFilter ref="A1:M48"/>
  <tableColumns count="13">
    <tableColumn id="1" name="DuengerID" dataDxfId="12"/>
    <tableColumn id="2" name="Name" dataDxfId="11"/>
    <tableColumn id="3" name="Spalte1" dataDxfId="10"/>
    <tableColumn id="4" name="Ngesamt _x000a_kg FM/t" dataDxfId="9"/>
    <tableColumn id="5" name="Nmineralisch _x000a_kg FM/t" dataDxfId="8"/>
    <tableColumn id="6" name="P2O5 _x000a_kg FM/t" dataDxfId="7"/>
    <tableColumn id="7" name="K2O _x000a_kg FM/t" dataDxfId="6"/>
    <tableColumn id="8" name="MgO _x000a_kg FM/t" dataDxfId="5"/>
    <tableColumn id="9" name="Mindest-wirksamkeit Ausbringjahr_x000a_% Ngesamt" dataDxfId="4"/>
    <tableColumn id="10" name="DüV-Bezeichnung" dataDxfId="3"/>
    <tableColumn id="11" name="CNorg" dataDxfId="2"/>
    <tableColumn id="12" name="minCN" dataDxfId="1"/>
    <tableColumn id="13" name="maxCN" dataDxfId="0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0" name="Tabelle1311" displayName="Tabelle1311" ref="A1:L102" insertRowShift="1" totalsRowShown="0" headerRowDxfId="128" dataDxfId="127" dataCellStyle="Standard_Grunddatenneu _1">
  <autoFilter ref="A1:L102"/>
  <sortState ref="A2:I20">
    <sortCondition ref="A1:A20"/>
  </sortState>
  <tableColumns count="12">
    <tableColumn id="9" name="Kultur (*vorläufige Daten)" dataDxfId="126"/>
    <tableColumn id="2" name="Ertrags-niveau dt/ha" dataDxfId="125"/>
    <tableColumn id="3" name="N-Bedarfs-wert _x000a_kg/ha" dataDxfId="124"/>
    <tableColumn id="4" name="Probe-nahme _x000a_in _x000a_Kultur-woche" dataDxfId="123"/>
    <tableColumn id="5" name="Probe-nahme-tiefe _x000a_cm" dataDxfId="122"/>
    <tableColumn id="6" name="Ertrags-differenz dt/ha" dataDxfId="121"/>
    <tableColumn id="7" name="Höchst-zuschläge bei höheren Erträgen je Einheit _x000a_kg/ha" dataDxfId="120"/>
    <tableColumn id="10" name="Mindest-abschläge bei niedrigeren Erträgen je Einheit _x000a_kg/ha" dataDxfId="119"/>
    <tableColumn id="1" name="N-Nährstoff-gehalt kg/dt" dataDxfId="118" dataCellStyle="Standard_Grunddatenneu _1"/>
    <tableColumn id="8" name="P2O5-Nährstoff-gehalt kg/dt" dataDxfId="117" dataCellStyle="Standard_Grunddatenneu _1"/>
    <tableColumn id="11" name="K2O-Nährstoff-gehalt kg/dt" dataDxfId="116" dataCellStyle="Standard_Grunddatenneu _1"/>
    <tableColumn id="12" name="MgO-Nährstoff-gehalt kg/dt" dataDxfId="115" dataCellStyle="Standard_Grunddatenneu _1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1" name="Tabelle10912" displayName="Tabelle10912" ref="A1:F176" totalsRowShown="0" headerRowDxfId="114" dataDxfId="112" headerRowBorderDxfId="113" tableBorderDxfId="111" totalsRowBorderDxfId="110" dataCellStyle="Schlecht">
  <autoFilter ref="A1:F176"/>
  <sortState ref="A2:F178">
    <sortCondition ref="A1:A178"/>
  </sortState>
  <tableColumns count="6">
    <tableColumn id="2" name="Kultur" dataDxfId="109" dataCellStyle="Schlecht"/>
    <tableColumn id="3" name="Etrags-niveau (Feld-abfuhr) dt/ha" dataDxfId="108" dataCellStyle="Schlecht"/>
    <tableColumn id="4" name="N-Nährstoff-gehalt kg/dt" dataDxfId="107" dataCellStyle="Schlecht"/>
    <tableColumn id="5" name="P2O5-Nährstoff-gehalt kg/dt" dataDxfId="106" dataCellStyle="Schlecht"/>
    <tableColumn id="6" name="K2O-Nährstoff-gehalt kg/dt" dataDxfId="105" dataCellStyle="Schlecht"/>
    <tableColumn id="7" name="MgO-Nährstoff-gehalt kg/dt" dataDxfId="104" dataCellStyle="Schlecht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1" name="Tabelle1" displayName="Tabelle1" ref="A1:Q153" totalsRowShown="0" headerRowDxfId="97" dataDxfId="96">
  <autoFilter ref="A1:Q153"/>
  <sortState ref="A2:Q121">
    <sortCondition ref="A1:A121"/>
  </sortState>
  <tableColumns count="17">
    <tableColumn id="1" name="Kultur (*vorläufige Daten)" dataDxfId="95"/>
    <tableColumn id="2" name="Ertrags-niveau dt/ha" dataDxfId="94"/>
    <tableColumn id="3" name="N-Bedarfs-wert kg/ha" dataDxfId="93"/>
    <tableColumn id="4" name="Probe-nahme in Kultur-woche" dataDxfId="92"/>
    <tableColumn id="5" name="Probe-nahme-tiefe cm" dataDxfId="91"/>
    <tableColumn id="6" name="Abschlag N-Nach-lieferung für Folge-kultur kg/ha " dataDxfId="90"/>
    <tableColumn id="7" name="2/3 Korrektur N-Nach-lieferung bei Probenahme &gt;= 4 Wo nach Einarbeitung kg/ha" dataDxfId="89"/>
    <tableColumn id="19" name="Ertrags-differenz %" dataDxfId="88"/>
    <tableColumn id="10" name="Zuschläge bei höheren Erträgen je Einheit _x000a_kg/ha" dataDxfId="87"/>
    <tableColumn id="18" name="Abschläge bei niedrigeren Erträgen je Einheit _x000a_kg/ha" dataDxfId="86"/>
    <tableColumn id="8" name="N-Nährstoff-gehalt kg/dt" dataDxfId="85"/>
    <tableColumn id="9" name="P2O5-Nährstoff-gehalt kg/dt" dataDxfId="84"/>
    <tableColumn id="11" name="K2O-Nährstoff-gehalt kg/dt" dataDxfId="83"/>
    <tableColumn id="12" name="MgO-Nährstoff-gehalt kg/dt" dataDxfId="82"/>
    <tableColumn id="13" name="P2O5-Fest-legung kg/ha" dataDxfId="81"/>
    <tableColumn id="14" name="K2O-Fest-legung kg/ha" dataDxfId="80"/>
    <tableColumn id="15" name="MgO-Fest-legung kg/ha" dataDxfId="79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13" name="Tabelle143914" displayName="Tabelle143914" ref="A1:U212" totalsRowShown="0" headerRowDxfId="77" dataDxfId="76">
  <autoFilter ref="A1:U212"/>
  <sortState ref="A2:W158">
    <sortCondition ref="B1:B158"/>
  </sortState>
  <tableColumns count="21">
    <tableColumn id="24" name="Berechnet_x000a_" dataDxfId="75"/>
    <tableColumn id="22" name="Kultur (*nicht in DüV, Quelle: LfL Freising)" dataDxfId="74"/>
    <tableColumn id="20" name="Ertrags-niveau FM dt/ha" dataDxfId="73"/>
    <tableColumn id="2" name="Ertrags-niveau TM _x000a_dt/ha" dataDxfId="72"/>
    <tableColumn id="8" name="Prozess-abfall (z.B. Stiele, Abrieb)_x000a_% TM" dataDxfId="71"/>
    <tableColumn id="3" name="Ertrags-niveau abzügl. Abfall_x000a_TM _x000a_dt/ha" dataDxfId="70"/>
    <tableColumn id="19" name="N-Bedarfs-wert kg/ha" dataDxfId="69"/>
    <tableColumn id="21" name="Probe-nahme in Kultur-woche" dataDxfId="68"/>
    <tableColumn id="18" name="Probe-nahme-tiefe_x000a_cm" dataDxfId="67"/>
    <tableColumn id="17" name="Abschlag N-Nach-lieferung für Folge-kultur kg/ha " dataDxfId="66"/>
    <tableColumn id="16" name="2/3 Korrektur N-Nach-lieferung bei Probenahme &gt;= 4 Wo nach Einarbeitung kg/ha" dataDxfId="65"/>
    <tableColumn id="15" name="Ertrags-differenz %" dataDxfId="64"/>
    <tableColumn id="14" name="Zuschläge bei höheren Erträgen je Einheit _x000a_kg/ha" dataDxfId="63"/>
    <tableColumn id="13" name="Abschläge bei niedrigeren Erträgen je Einheit _x000a_kg/ha" dataDxfId="62"/>
    <tableColumn id="4" name="N-Nährstoff-gehalt_x000a_kg/dt FM" dataDxfId="61"/>
    <tableColumn id="5" name="P2O5-Nährstoff-gehalt_x000a_kg/dt FM" dataDxfId="60"/>
    <tableColumn id="6" name="K2O-Nährstoff-gehalt_x000a_kg/dt FM" dataDxfId="59"/>
    <tableColumn id="7" name="MgO-Nährstoff-gehalt_x000a_kg/dt FM" dataDxfId="58"/>
    <tableColumn id="9" name="N-Fix kg/dt FM" dataDxfId="57"/>
    <tableColumn id="10" name="HNV_x000a_1:x" dataDxfId="56"/>
    <tableColumn id="12" name="EV_x000a_Faktor_x000a_FM/Droge" dataDxfId="55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8" name="Tabelle8" displayName="Tabelle8" ref="W1:W111" totalsRowShown="0" headerRowDxfId="54" dataDxfId="53" tableBorderDxfId="52">
  <autoFilter ref="W1:W111"/>
  <sortState ref="W2:W110">
    <sortCondition ref="W1:W111"/>
  </sortState>
  <tableColumns count="1">
    <tableColumn id="1" name="N-DBE-Auswahlliste" dataDxfId="51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3" name="Tabelle3" displayName="Tabelle3" ref="A1:B2" totalsRowShown="0" headerRowDxfId="50" dataDxfId="49">
  <autoFilter ref="A1:B2"/>
  <tableColumns count="2">
    <tableColumn id="1" name="Humusgehalt %" dataDxfId="48"/>
    <tableColumn id="2" name="N-Mindestabschlag kg/ha" dataDxfId="47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4" name="Tabelle4" displayName="Tabelle4" ref="A1:B18" totalsRowShown="0" headerRowDxfId="46" dataDxfId="45">
  <autoFilter ref="A1:B18"/>
  <tableColumns count="2">
    <tableColumn id="1" name="Vorfrucht, Zwischenfrucht" dataDxfId="44"/>
    <tableColumn id="2" name="N-Mindest-abschlag _x000a_kg/ha" dataDxfId="43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id="2" name="Tabelle43" displayName="Tabelle43" ref="A1:B9" totalsRowShown="0" headerRowDxfId="42" dataDxfId="41">
  <autoFilter ref="A1:B9"/>
  <tableColumns count="2">
    <tableColumn id="1" name="Vorfrucht, Zwischenfrucht" dataDxfId="40"/>
    <tableColumn id="2" name="N-Mindest-abschlag _x000a_kg/ha" dataDxfId="39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6" Type="http://schemas.openxmlformats.org/officeDocument/2006/relationships/comments" Target="../comments9.xml"/><Relationship Id="rId5" Type="http://schemas.openxmlformats.org/officeDocument/2006/relationships/table" Target="../tables/table4.xml"/><Relationship Id="rId4" Type="http://schemas.openxmlformats.org/officeDocument/2006/relationships/vmlDrawing" Target="../drawings/vmlDrawing9.v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Relationship Id="rId6" Type="http://schemas.openxmlformats.org/officeDocument/2006/relationships/comments" Target="../comments10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16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17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8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comments" Target="../comments11.xml"/><Relationship Id="rId5" Type="http://schemas.openxmlformats.org/officeDocument/2006/relationships/table" Target="../tables/table11.xml"/><Relationship Id="rId4" Type="http://schemas.openxmlformats.org/officeDocument/2006/relationships/vmlDrawing" Target="../drawings/vmlDrawing11.v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1.bin"/><Relationship Id="rId5" Type="http://schemas.openxmlformats.org/officeDocument/2006/relationships/comments" Target="../comments12.xml"/><Relationship Id="rId4" Type="http://schemas.openxmlformats.org/officeDocument/2006/relationships/table" Target="../tables/table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Relationship Id="rId5" Type="http://schemas.openxmlformats.org/officeDocument/2006/relationships/comments" Target="../comments7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tabColor rgb="FF92D050"/>
    <pageSetUpPr fitToPage="1"/>
  </sheetPr>
  <dimension ref="A1:N59"/>
  <sheetViews>
    <sheetView showGridLines="0" tabSelected="1" zoomScaleNormal="100" zoomScaleSheetLayoutView="130" workbookViewId="0">
      <selection activeCell="B13" sqref="B13:E13"/>
    </sheetView>
  </sheetViews>
  <sheetFormatPr baseColWidth="10" defaultRowHeight="15.75"/>
  <cols>
    <col min="1" max="1" width="2.85546875" style="13" customWidth="1"/>
    <col min="2" max="2" width="10.28515625" style="13" customWidth="1"/>
    <col min="3" max="3" width="11.5703125" style="13" customWidth="1"/>
    <col min="4" max="4" width="2.85546875" style="13" customWidth="1"/>
    <col min="5" max="5" width="15.140625" style="13" customWidth="1"/>
    <col min="6" max="6" width="2.42578125" style="13" customWidth="1"/>
    <col min="7" max="7" width="23.5703125" style="13" customWidth="1"/>
    <col min="8" max="8" width="6.5703125" style="14" customWidth="1"/>
    <col min="9" max="9" width="7.85546875" style="13" customWidth="1"/>
    <col min="10" max="10" width="7.140625" style="13" customWidth="1"/>
    <col min="11" max="11" width="4.5703125" style="13" hidden="1" customWidth="1"/>
    <col min="12" max="12" width="10.85546875" style="13" hidden="1" customWidth="1"/>
    <col min="13" max="14" width="11.42578125" style="13" hidden="1" customWidth="1"/>
    <col min="15" max="16384" width="11.42578125" style="13"/>
  </cols>
  <sheetData>
    <row r="1" spans="1:14" ht="31.5" customHeight="1">
      <c r="A1" s="364" t="s">
        <v>1280</v>
      </c>
      <c r="B1" s="364"/>
      <c r="C1" s="364"/>
      <c r="D1" s="364"/>
      <c r="E1" s="364"/>
      <c r="F1" s="364"/>
      <c r="G1" s="364"/>
      <c r="H1" s="364"/>
      <c r="I1" s="364"/>
      <c r="J1" s="364"/>
    </row>
    <row r="2" spans="1:14" ht="4.5" customHeight="1"/>
    <row r="3" spans="1:14" ht="9" customHeight="1">
      <c r="A3" s="369" t="s">
        <v>1135</v>
      </c>
      <c r="B3" s="369"/>
      <c r="C3" s="369"/>
      <c r="D3" s="369"/>
      <c r="E3" s="369"/>
      <c r="F3" s="369"/>
      <c r="G3" s="369"/>
      <c r="H3" s="160" t="s">
        <v>1102</v>
      </c>
      <c r="I3" s="159">
        <v>45335</v>
      </c>
      <c r="J3" s="158"/>
    </row>
    <row r="4" spans="1:14" ht="9" customHeight="1">
      <c r="A4" s="366" t="s">
        <v>1282</v>
      </c>
      <c r="B4" s="366"/>
      <c r="C4" s="366"/>
      <c r="D4" s="366"/>
      <c r="E4" s="366"/>
      <c r="F4" s="366"/>
      <c r="G4" s="366"/>
      <c r="H4" s="35"/>
      <c r="I4" s="36"/>
      <c r="J4" s="36"/>
    </row>
    <row r="5" spans="1:14" ht="17.25" customHeight="1">
      <c r="H5" s="367"/>
      <c r="I5" s="367"/>
      <c r="J5" s="230"/>
    </row>
    <row r="6" spans="1:14" ht="15.75" customHeight="1">
      <c r="A6" s="365" t="s">
        <v>7</v>
      </c>
      <c r="B6" s="368"/>
      <c r="C6" s="368"/>
      <c r="D6" s="265"/>
      <c r="E6" s="30" t="s">
        <v>821</v>
      </c>
      <c r="F6" s="229"/>
      <c r="G6" s="229" t="s">
        <v>834</v>
      </c>
      <c r="H6" s="229"/>
      <c r="I6" s="365" t="s">
        <v>825</v>
      </c>
      <c r="J6" s="365"/>
    </row>
    <row r="7" spans="1:14" ht="15.75" customHeight="1">
      <c r="A7" s="373"/>
      <c r="B7" s="373"/>
      <c r="C7" s="373"/>
      <c r="E7" s="48"/>
      <c r="G7" s="231"/>
      <c r="H7" s="266"/>
      <c r="I7" s="372"/>
      <c r="J7" s="372"/>
    </row>
    <row r="8" spans="1:14" ht="5.25" customHeight="1">
      <c r="A8" s="10"/>
      <c r="B8" s="10"/>
      <c r="C8" s="10"/>
      <c r="D8" s="10"/>
      <c r="E8" s="10"/>
      <c r="F8" s="10"/>
      <c r="G8" s="10"/>
      <c r="I8" s="16"/>
      <c r="J8" s="16"/>
    </row>
    <row r="9" spans="1:14" ht="9" customHeight="1">
      <c r="A9" s="371" t="s">
        <v>1033</v>
      </c>
      <c r="B9" s="371"/>
      <c r="C9" s="371"/>
      <c r="D9" s="371"/>
      <c r="E9" s="371"/>
      <c r="F9" s="371"/>
      <c r="G9" s="371"/>
      <c r="H9" s="371"/>
      <c r="I9" s="371"/>
      <c r="J9" s="371"/>
    </row>
    <row r="10" spans="1:14" ht="9" customHeight="1">
      <c r="A10" s="371" t="s">
        <v>1101</v>
      </c>
      <c r="B10" s="371"/>
      <c r="C10" s="371"/>
      <c r="D10" s="371"/>
      <c r="E10" s="371"/>
      <c r="F10" s="371"/>
      <c r="G10" s="371"/>
      <c r="H10" s="371"/>
      <c r="I10" s="371"/>
      <c r="J10" s="371"/>
    </row>
    <row r="11" spans="1:14" ht="9" customHeight="1">
      <c r="A11" s="371" t="s">
        <v>1100</v>
      </c>
      <c r="B11" s="371"/>
      <c r="C11" s="371"/>
      <c r="D11" s="371"/>
      <c r="E11" s="371"/>
      <c r="F11" s="371"/>
      <c r="G11" s="371"/>
      <c r="H11" s="371"/>
      <c r="I11" s="371"/>
      <c r="J11" s="371"/>
    </row>
    <row r="12" spans="1:14" s="32" customFormat="1" ht="23.25" customHeight="1">
      <c r="A12" s="227" t="s">
        <v>1084</v>
      </c>
      <c r="B12" s="349" t="s">
        <v>1289</v>
      </c>
      <c r="C12" s="349"/>
      <c r="D12" s="349"/>
      <c r="E12" s="349"/>
      <c r="F12" s="31"/>
      <c r="G12" s="370"/>
      <c r="H12" s="370"/>
      <c r="I12" s="370"/>
      <c r="J12" s="370"/>
      <c r="K12" s="33"/>
      <c r="L12" s="13"/>
    </row>
    <row r="13" spans="1:14" s="11" customFormat="1" ht="21.95" customHeight="1">
      <c r="B13" s="378"/>
      <c r="C13" s="378"/>
      <c r="D13" s="378"/>
      <c r="E13" s="378"/>
      <c r="F13" s="46"/>
      <c r="G13" s="233" t="str">
        <f>IF(B13="","",VLOOKUP(B13,'Tab 4+5 DüV+Abfuhr_G'!A:E,4))</f>
        <v/>
      </c>
      <c r="H13" s="15" t="s">
        <v>820</v>
      </c>
      <c r="I13" s="39" t="str">
        <f>IF(B13="","0",VLOOKUP(B13,'Tab 4+5 DüV+Abfuhr_G'!A:C,3))</f>
        <v>0</v>
      </c>
      <c r="J13" s="44" t="s">
        <v>832</v>
      </c>
      <c r="K13" s="50"/>
      <c r="L13" s="13"/>
    </row>
    <row r="14" spans="1:14" ht="14.1" customHeight="1">
      <c r="A14" s="224" t="s">
        <v>1085</v>
      </c>
      <c r="B14" s="384" t="s">
        <v>1092</v>
      </c>
      <c r="C14" s="384"/>
      <c r="D14" s="384"/>
      <c r="E14" s="384"/>
      <c r="F14" s="224"/>
      <c r="G14" s="226" t="s">
        <v>835</v>
      </c>
      <c r="H14" s="15"/>
      <c r="I14" s="16"/>
      <c r="J14" s="16"/>
      <c r="K14" s="51"/>
      <c r="L14" s="13" t="s">
        <v>1275</v>
      </c>
      <c r="M14" s="13" t="s">
        <v>872</v>
      </c>
      <c r="N14" s="13" t="s">
        <v>873</v>
      </c>
    </row>
    <row r="15" spans="1:14" ht="14.1" customHeight="1">
      <c r="B15" s="231"/>
      <c r="C15" s="382" t="str">
        <f>IF(OR(B15="",B13=""),"",IF(G15=0,"Achtung, keine Ertragserwartung!",(B15-G15)*100/G15))</f>
        <v/>
      </c>
      <c r="D15" s="382"/>
      <c r="E15" s="382"/>
      <c r="F15" s="382"/>
      <c r="G15" s="47" t="str">
        <f>IF(B13="","",VLOOKUP(B13,'Tab 4+5 DüV+Abfuhr_G'!A:B,2))</f>
        <v/>
      </c>
      <c r="H15" s="15" t="s">
        <v>820</v>
      </c>
      <c r="I15" s="40" t="str">
        <f>IF(OR(L15="",L15=0,B15="",G15=0),"0",IF(C15&gt;0,ROUNDDOWN(C15/L15,0)*M15,ROUNDDOWN(C15/L15,0)*N15))</f>
        <v>0</v>
      </c>
      <c r="J15" s="40" t="s">
        <v>832</v>
      </c>
      <c r="K15" s="267"/>
      <c r="L15" s="102" t="str">
        <f>IF(B13="","",VLOOKUP(B13,'Tab 4+5 DüV+Abfuhr_G'!A:J,8))</f>
        <v/>
      </c>
      <c r="M15" s="102" t="str">
        <f>IF(B13="","",VLOOKUP(B13,'Tab 4+5 DüV+Abfuhr_G'!A:J,9))</f>
        <v/>
      </c>
      <c r="N15" s="102" t="str">
        <f>IF(B13="","",VLOOKUP(B13,'Tab 4+5 DüV+Abfuhr_G'!A:J,10))</f>
        <v/>
      </c>
    </row>
    <row r="16" spans="1:14" ht="14.1" customHeight="1">
      <c r="A16" s="224" t="s">
        <v>1086</v>
      </c>
      <c r="B16" s="357" t="s">
        <v>1083</v>
      </c>
      <c r="C16" s="357"/>
      <c r="D16" s="357"/>
      <c r="E16" s="357"/>
      <c r="F16" s="357"/>
      <c r="G16" s="357"/>
      <c r="H16" s="15"/>
      <c r="I16" s="18"/>
      <c r="J16" s="18"/>
    </row>
    <row r="17" spans="1:13" ht="14.1" customHeight="1">
      <c r="B17" s="225"/>
      <c r="C17" s="375" t="str">
        <f>IF(B17="","", IF(B17="ja",",dann N-Zuschlag",",dann kein N-Zuschlag"))</f>
        <v/>
      </c>
      <c r="D17" s="375"/>
      <c r="E17" s="375"/>
      <c r="F17" s="375"/>
      <c r="G17" s="375"/>
      <c r="H17" s="15" t="s">
        <v>820</v>
      </c>
      <c r="I17" s="40" t="str">
        <f>IF(OR(B17="",B17="nein"),"0",VLOOKUP(B17,'Verfrühung, Vorkultur'!A:B,2))</f>
        <v>0</v>
      </c>
      <c r="J17" s="40" t="s">
        <v>832</v>
      </c>
    </row>
    <row r="18" spans="1:13" s="32" customFormat="1" ht="24" customHeight="1">
      <c r="A18" s="381" t="s">
        <v>831</v>
      </c>
      <c r="B18" s="381"/>
      <c r="C18" s="381"/>
      <c r="D18" s="381"/>
      <c r="E18" s="381"/>
      <c r="F18" s="381"/>
      <c r="G18" s="381"/>
      <c r="H18" s="268"/>
      <c r="I18" s="268"/>
      <c r="J18" s="268"/>
    </row>
    <row r="19" spans="1:13" ht="14.1" customHeight="1">
      <c r="A19" s="223" t="s">
        <v>1087</v>
      </c>
      <c r="B19" s="383" t="s">
        <v>1082</v>
      </c>
      <c r="C19" s="383"/>
      <c r="D19" s="383"/>
      <c r="E19" s="279" t="str">
        <f>IF(B13="","",VLOOKUP(B13,'Tab 4+5 DüV+Abfuhr_G'!A:E,5))</f>
        <v/>
      </c>
      <c r="G19" s="269"/>
      <c r="H19" s="15"/>
      <c r="I19" s="18"/>
      <c r="J19" s="18"/>
    </row>
    <row r="20" spans="1:13" ht="14.1" customHeight="1">
      <c r="B20" s="225"/>
      <c r="C20" s="375" t="s">
        <v>833</v>
      </c>
      <c r="D20" s="375"/>
      <c r="E20" s="375"/>
      <c r="F20" s="375"/>
      <c r="G20" s="375"/>
      <c r="H20" s="15" t="s">
        <v>820</v>
      </c>
      <c r="I20" s="40" t="str">
        <f>IF(B20="","0",-B20)</f>
        <v>0</v>
      </c>
      <c r="J20" s="40" t="s">
        <v>832</v>
      </c>
    </row>
    <row r="21" spans="1:13" s="32" customFormat="1" ht="14.1" customHeight="1">
      <c r="A21" s="227" t="s">
        <v>1088</v>
      </c>
      <c r="B21" s="377" t="s">
        <v>1091</v>
      </c>
      <c r="C21" s="377"/>
      <c r="D21" s="377"/>
      <c r="E21" s="377"/>
      <c r="F21" s="377"/>
      <c r="G21" s="377"/>
      <c r="M21" s="32" t="s">
        <v>819</v>
      </c>
    </row>
    <row r="22" spans="1:13" ht="14.1" customHeight="1">
      <c r="B22" s="225"/>
      <c r="C22" s="375" t="str">
        <f>IF(B22="ja",",dann N-Nachlieferung aus Bodenvorrat",IF(B22="nein",",dann keine N-Nachlieferung aus Bodenvorrat",""))</f>
        <v/>
      </c>
      <c r="D22" s="375"/>
      <c r="E22" s="375"/>
      <c r="F22" s="375"/>
      <c r="G22" s="375"/>
      <c r="H22" s="15" t="s">
        <v>820</v>
      </c>
      <c r="I22" s="40" t="str">
        <f>IF(B22="ja",-20,"0")</f>
        <v>0</v>
      </c>
      <c r="J22" s="40" t="s">
        <v>832</v>
      </c>
    </row>
    <row r="23" spans="1:13" ht="14.1" customHeight="1">
      <c r="A23" s="232" t="s">
        <v>1089</v>
      </c>
      <c r="B23" s="362" t="s">
        <v>1094</v>
      </c>
      <c r="C23" s="362"/>
      <c r="D23" s="362"/>
      <c r="E23" s="362"/>
      <c r="F23" s="362"/>
      <c r="G23" s="362"/>
      <c r="H23" s="15"/>
      <c r="I23" s="18"/>
      <c r="J23" s="18"/>
    </row>
    <row r="24" spans="1:13" ht="14.1" customHeight="1">
      <c r="B24" s="358"/>
      <c r="C24" s="359"/>
      <c r="D24" s="359"/>
      <c r="E24" s="359"/>
      <c r="F24" s="359"/>
      <c r="G24" s="359"/>
      <c r="H24" s="15"/>
      <c r="I24" s="18"/>
      <c r="J24" s="18"/>
    </row>
    <row r="25" spans="1:13" ht="14.1" customHeight="1">
      <c r="C25" s="357" t="s">
        <v>823</v>
      </c>
      <c r="D25" s="357"/>
      <c r="E25" s="357"/>
      <c r="F25" s="357"/>
      <c r="G25" s="357"/>
      <c r="H25" s="15"/>
      <c r="I25" s="18"/>
      <c r="J25" s="18"/>
    </row>
    <row r="26" spans="1:13" ht="14.1" customHeight="1">
      <c r="C26" s="225"/>
      <c r="D26" s="222"/>
      <c r="E26" s="222"/>
      <c r="F26" s="222"/>
      <c r="G26" s="222"/>
      <c r="H26" s="15" t="s">
        <v>820</v>
      </c>
      <c r="I26" s="113" t="str">
        <f>IF(OR(B24="",C26="ja"),"0",-VLOOKUP(B24,'Tab 4+5 DüV+Abfuhr_G'!A:G,6))</f>
        <v>0</v>
      </c>
      <c r="J26" s="40" t="s">
        <v>832</v>
      </c>
    </row>
    <row r="27" spans="1:13" ht="14.1" customHeight="1">
      <c r="C27" s="357" t="s">
        <v>1095</v>
      </c>
      <c r="D27" s="357"/>
      <c r="E27" s="357"/>
      <c r="F27" s="357"/>
      <c r="G27" s="357"/>
      <c r="H27" s="15"/>
      <c r="I27" s="18"/>
      <c r="J27" s="18"/>
    </row>
    <row r="28" spans="1:13" ht="14.1" customHeight="1">
      <c r="C28" s="225"/>
      <c r="D28" s="222"/>
      <c r="E28" s="222"/>
      <c r="F28" s="222"/>
      <c r="G28" s="222"/>
      <c r="H28" s="15" t="s">
        <v>820</v>
      </c>
      <c r="I28" s="40" t="str">
        <f>IF(OR(C28="nein",C28="",I26="",C26="ja",B24=""),"0",VLOOKUP(B24,'Tab 4+5 DüV+Abfuhr_G'!A:G,7))</f>
        <v>0</v>
      </c>
      <c r="J28" s="40" t="s">
        <v>832</v>
      </c>
    </row>
    <row r="29" spans="1:13" ht="14.1" customHeight="1">
      <c r="A29" s="232" t="s">
        <v>1090</v>
      </c>
      <c r="B29" s="357" t="s">
        <v>1167</v>
      </c>
      <c r="C29" s="357"/>
      <c r="D29" s="357"/>
      <c r="E29" s="357"/>
      <c r="F29" s="357"/>
      <c r="G29" s="357"/>
      <c r="H29" s="15"/>
      <c r="I29" s="18"/>
      <c r="J29" s="18"/>
    </row>
    <row r="30" spans="1:13" ht="14.1" customHeight="1">
      <c r="B30" s="358"/>
      <c r="C30" s="359"/>
      <c r="D30" s="359"/>
      <c r="E30" s="359"/>
      <c r="F30" s="359"/>
      <c r="G30" s="359"/>
      <c r="H30" s="15" t="s">
        <v>820</v>
      </c>
      <c r="I30" s="270" t="str">
        <f>IF(OR(B30="",B24&lt;&gt;""),"0",-VLOOKUP(B30,'Tab 7 DüV_A-VF'!A:B,2))</f>
        <v>0</v>
      </c>
      <c r="J30" s="40" t="s">
        <v>832</v>
      </c>
    </row>
    <row r="31" spans="1:13" ht="14.1" customHeight="1">
      <c r="A31" s="30" t="s">
        <v>1081</v>
      </c>
      <c r="B31" s="384" t="s">
        <v>1166</v>
      </c>
      <c r="C31" s="357"/>
      <c r="D31" s="357"/>
      <c r="E31" s="357"/>
      <c r="F31" s="357"/>
      <c r="G31" s="357"/>
      <c r="H31" s="15"/>
      <c r="I31" s="15"/>
      <c r="J31" s="15"/>
    </row>
    <row r="32" spans="1:13" ht="14.1" customHeight="1">
      <c r="B32" s="358"/>
      <c r="C32" s="359"/>
      <c r="D32" s="359"/>
      <c r="E32" s="359"/>
      <c r="F32" s="359"/>
      <c r="G32" s="359"/>
      <c r="H32" s="15" t="s">
        <v>820</v>
      </c>
      <c r="I32" s="270" t="str">
        <f>IF(OR(B32="",B24&lt;&gt;""),"0",-VLOOKUP(B32,'Tab 7 DüV_A-ZF'!A:B,2))</f>
        <v>0</v>
      </c>
      <c r="J32" s="40" t="s">
        <v>832</v>
      </c>
    </row>
    <row r="33" spans="1:11" ht="14.1" customHeight="1">
      <c r="A33" s="232" t="s">
        <v>1164</v>
      </c>
      <c r="B33" s="357" t="s">
        <v>1080</v>
      </c>
      <c r="C33" s="357"/>
      <c r="D33" s="357"/>
      <c r="E33" s="357"/>
      <c r="F33" s="357"/>
      <c r="G33" s="357"/>
      <c r="H33" s="15"/>
      <c r="I33" s="18"/>
      <c r="J33" s="18"/>
      <c r="K33" s="19"/>
    </row>
    <row r="34" spans="1:11" ht="14.1" customHeight="1" thickBot="1">
      <c r="A34" s="56">
        <v>1</v>
      </c>
      <c r="B34" s="376"/>
      <c r="C34" s="376"/>
      <c r="D34" s="376"/>
      <c r="E34" s="376"/>
      <c r="F34" s="376"/>
      <c r="G34" s="376"/>
      <c r="H34" s="15"/>
      <c r="I34" s="20"/>
      <c r="J34" s="20"/>
      <c r="K34" s="19"/>
    </row>
    <row r="35" spans="1:11" ht="14.1" customHeight="1" thickBot="1">
      <c r="A35" s="56">
        <v>2</v>
      </c>
      <c r="B35" s="376"/>
      <c r="C35" s="376"/>
      <c r="D35" s="376"/>
      <c r="E35" s="376"/>
      <c r="F35" s="376"/>
      <c r="G35" s="376"/>
      <c r="H35" s="15"/>
      <c r="I35" s="20"/>
      <c r="J35" s="20"/>
      <c r="K35" s="19"/>
    </row>
    <row r="36" spans="1:11" ht="14.1" customHeight="1" thickBot="1">
      <c r="A36" s="56">
        <v>3</v>
      </c>
      <c r="B36" s="376"/>
      <c r="C36" s="376"/>
      <c r="D36" s="376"/>
      <c r="E36" s="376"/>
      <c r="F36" s="376"/>
      <c r="G36" s="376"/>
      <c r="H36" s="15"/>
      <c r="I36" s="20"/>
      <c r="J36" s="20"/>
      <c r="K36" s="19"/>
    </row>
    <row r="37" spans="1:11" ht="14.1" customHeight="1" thickBot="1">
      <c r="A37" s="56">
        <v>4</v>
      </c>
      <c r="B37" s="376"/>
      <c r="C37" s="376"/>
      <c r="D37" s="376"/>
      <c r="E37" s="376"/>
      <c r="F37" s="376"/>
      <c r="G37" s="376"/>
      <c r="H37" s="15"/>
      <c r="I37" s="20"/>
      <c r="J37" s="20"/>
      <c r="K37" s="19"/>
    </row>
    <row r="38" spans="1:11" ht="14.1" customHeight="1">
      <c r="B38" s="357" t="s">
        <v>824</v>
      </c>
      <c r="C38" s="357"/>
      <c r="D38" s="357"/>
      <c r="E38" s="357"/>
      <c r="F38" s="357"/>
      <c r="G38" s="357"/>
      <c r="H38" s="234"/>
      <c r="I38" s="21"/>
      <c r="J38" s="21"/>
    </row>
    <row r="39" spans="1:11" ht="14.1" customHeight="1" thickBot="1">
      <c r="A39" s="56">
        <v>1</v>
      </c>
      <c r="B39" s="183"/>
      <c r="C39" s="232" t="str">
        <f>IF(OR(B34="_keine",B34=""),"",VLOOKUP(B34,'Tab org. D_N-expert'!B:C,2,FALSE))</f>
        <v/>
      </c>
      <c r="D39" s="353" t="str">
        <f>IF(OR(B34="_keine",B34=""),"",VLOOKUP(B34,'Tab org. D_N-expert'!B:F,3,FALSE))</f>
        <v/>
      </c>
      <c r="E39" s="354"/>
      <c r="F39" s="354"/>
      <c r="G39" s="238" t="str">
        <f>IF(OR(B34="_keine",B34=""),"",IF(C39="t/ha","kg/t Frischmasse",IF(C39="m³/ha","kg/m³ Frischmasse")))</f>
        <v/>
      </c>
      <c r="H39" s="15" t="s">
        <v>820</v>
      </c>
      <c r="I39" s="40" t="str">
        <f>IF(OR(B34="",B34="_keine"),"0",-(B39*D39/10))</f>
        <v>0</v>
      </c>
      <c r="J39" s="40" t="s">
        <v>832</v>
      </c>
    </row>
    <row r="40" spans="1:11" ht="14.1" customHeight="1" thickBot="1">
      <c r="A40" s="56">
        <v>2</v>
      </c>
      <c r="B40" s="184"/>
      <c r="C40" s="232" t="str">
        <f>IF(OR(B35="_keine",B35=""),"",VLOOKUP(B35,'Tab org. D_N-expert'!B:C,2,FALSE))</f>
        <v/>
      </c>
      <c r="D40" s="360" t="str">
        <f>IF(OR(B35="_keine",B35=""),"",VLOOKUP(B35,'Tab org. D_N-expert'!B:F,3,FALSE))</f>
        <v/>
      </c>
      <c r="E40" s="361"/>
      <c r="F40" s="361"/>
      <c r="G40" s="237" t="str">
        <f>IF(OR(B35="_keine",B35=""),"",IF(C40="t/ha","kg/t Frischmasse",IF(C40="m³/ha","kg/m³ Frischmasse")))</f>
        <v/>
      </c>
      <c r="H40" s="15" t="s">
        <v>820</v>
      </c>
      <c r="I40" s="40" t="str">
        <f>IF(OR(B35="",B35="_keine"),"0",-(B40*D40/10))</f>
        <v>0</v>
      </c>
      <c r="J40" s="40" t="s">
        <v>832</v>
      </c>
    </row>
    <row r="41" spans="1:11" ht="14.1" customHeight="1" thickBot="1">
      <c r="A41" s="56">
        <v>3</v>
      </c>
      <c r="B41" s="184"/>
      <c r="C41" s="232" t="str">
        <f>IF(OR(B36="_keine",B36=""),"",VLOOKUP(B36,'Tab org. D_N-expert'!B:C,2,FALSE))</f>
        <v/>
      </c>
      <c r="D41" s="360" t="str">
        <f>IF(OR(B36="_keine",B36=""),"",VLOOKUP(B36,'Tab org. D_N-expert'!B:F,3,FALSE))</f>
        <v/>
      </c>
      <c r="E41" s="361"/>
      <c r="F41" s="361"/>
      <c r="G41" s="237" t="str">
        <f>IF(OR(B36="_keine",B36=""),"",IF(C41="t/ha","kg/t Frischmasse",IF(C41="m³/ha","kg/m³ Frischmasse")))</f>
        <v/>
      </c>
      <c r="H41" s="15" t="s">
        <v>820</v>
      </c>
      <c r="I41" s="40" t="str">
        <f>IF(OR(B36="",B36="_keine"),"0",-(B41*D41/10))</f>
        <v>0</v>
      </c>
      <c r="J41" s="40" t="s">
        <v>832</v>
      </c>
    </row>
    <row r="42" spans="1:11" ht="14.1" customHeight="1">
      <c r="A42" s="56">
        <v>4</v>
      </c>
      <c r="B42" s="185"/>
      <c r="C42" s="232" t="str">
        <f>IF(OR(B37="_keine",B37=""),"",VLOOKUP(B37,'Tab org. D_N-expert'!B:C,2,FALSE))</f>
        <v/>
      </c>
      <c r="D42" s="379" t="str">
        <f>IF(OR(B37="_keine",B37=""),"",VLOOKUP(B37,'Tab org. D_N-expert'!B:F,3,FALSE))</f>
        <v/>
      </c>
      <c r="E42" s="380"/>
      <c r="F42" s="380"/>
      <c r="G42" s="236" t="str">
        <f>IF(OR(B37="_keine",B37=""),"",IF(C42="t/ha","kg/t Frischmasse",IF(C42="m³/ha","kg/m³ Frischmasse")))</f>
        <v/>
      </c>
      <c r="H42" s="15" t="s">
        <v>820</v>
      </c>
      <c r="I42" s="40" t="str">
        <f>IF(OR(B37="",B37="_keine"),"0",-(B42*D42/10))</f>
        <v>0</v>
      </c>
      <c r="J42" s="40" t="s">
        <v>832</v>
      </c>
    </row>
    <row r="43" spans="1:11" ht="14.1" customHeight="1">
      <c r="A43" s="30" t="s">
        <v>1165</v>
      </c>
      <c r="B43" s="357" t="s">
        <v>827</v>
      </c>
      <c r="C43" s="357"/>
      <c r="D43" s="357"/>
      <c r="E43" s="357"/>
      <c r="F43" s="357"/>
      <c r="G43" s="357"/>
      <c r="H43" s="15"/>
      <c r="I43" s="18"/>
      <c r="J43" s="18"/>
      <c r="K43" s="19"/>
    </row>
    <row r="44" spans="1:11" ht="14.1" customHeight="1">
      <c r="B44" s="358"/>
      <c r="C44" s="359"/>
      <c r="D44" s="359"/>
      <c r="E44" s="359"/>
      <c r="F44" s="359"/>
      <c r="G44" s="359"/>
      <c r="H44" s="15"/>
      <c r="I44" s="18"/>
      <c r="J44" s="18"/>
      <c r="K44" s="19"/>
    </row>
    <row r="45" spans="1:11" ht="14.1" customHeight="1">
      <c r="A45" s="12"/>
      <c r="B45" s="357" t="s">
        <v>824</v>
      </c>
      <c r="C45" s="357"/>
      <c r="D45" s="357"/>
      <c r="E45" s="357"/>
      <c r="F45" s="357"/>
      <c r="G45" s="357"/>
      <c r="H45" s="15"/>
      <c r="I45" s="21"/>
      <c r="J45" s="21"/>
    </row>
    <row r="46" spans="1:11" ht="14.1" customHeight="1">
      <c r="B46" s="186"/>
      <c r="C46" s="30" t="s">
        <v>816</v>
      </c>
      <c r="D46" s="355" t="str">
        <f>IF(OR(B44="_keine",B44=""),"",VLOOKUP(B44,'Tab org. Kompost_N-expert'!B:D,3,FALSE))</f>
        <v/>
      </c>
      <c r="E46" s="356"/>
      <c r="F46" s="356"/>
      <c r="G46" s="235" t="str">
        <f>IF(OR(B44="_keine",B44=""),"","kg/t Frischmasse")</f>
        <v/>
      </c>
      <c r="H46" s="15" t="s">
        <v>820</v>
      </c>
      <c r="I46" s="40" t="str">
        <f>IF(OR(B44="",B44="_keine"),"0",(-B46*D46*4/100))</f>
        <v>0</v>
      </c>
      <c r="J46" s="40" t="s">
        <v>832</v>
      </c>
    </row>
    <row r="47" spans="1:11" ht="14.1" customHeight="1">
      <c r="B47" s="357" t="s">
        <v>828</v>
      </c>
      <c r="C47" s="357"/>
      <c r="D47" s="357"/>
      <c r="E47" s="357"/>
      <c r="F47" s="357"/>
      <c r="G47" s="357"/>
      <c r="H47" s="15"/>
      <c r="I47" s="18"/>
      <c r="J47" s="18"/>
      <c r="K47" s="19"/>
    </row>
    <row r="48" spans="1:11" ht="14.1" customHeight="1">
      <c r="B48" s="358"/>
      <c r="C48" s="359"/>
      <c r="D48" s="359"/>
      <c r="E48" s="359"/>
      <c r="F48" s="359"/>
      <c r="G48" s="359"/>
      <c r="H48" s="15"/>
      <c r="I48" s="20"/>
      <c r="J48" s="20"/>
      <c r="K48" s="19"/>
    </row>
    <row r="49" spans="1:11" ht="14.1" customHeight="1">
      <c r="B49" s="357" t="s">
        <v>824</v>
      </c>
      <c r="C49" s="357"/>
      <c r="D49" s="357"/>
      <c r="E49" s="357"/>
      <c r="F49" s="357"/>
      <c r="G49" s="357"/>
      <c r="H49" s="15"/>
      <c r="I49" s="21"/>
      <c r="J49" s="21"/>
    </row>
    <row r="50" spans="1:11" ht="14.1" customHeight="1">
      <c r="B50" s="186"/>
      <c r="C50" s="30" t="s">
        <v>816</v>
      </c>
      <c r="D50" s="355" t="str">
        <f>IF(OR(B48="_keine",B48=""),"",VLOOKUP(B48,'Tab org. Kompost_N-expert'!B:D,3,FALSE))</f>
        <v/>
      </c>
      <c r="E50" s="356"/>
      <c r="F50" s="356"/>
      <c r="G50" s="235" t="str">
        <f>IF(OR(B48="_keine",B48=""),"","kg/t Frischmasse")</f>
        <v/>
      </c>
      <c r="H50" s="15" t="s">
        <v>820</v>
      </c>
      <c r="I50" s="40" t="str">
        <f>IF(OR(B48="",B48="_keine"),"0",(-B50*D50*3/100))</f>
        <v>0</v>
      </c>
      <c r="J50" s="40" t="s">
        <v>832</v>
      </c>
    </row>
    <row r="51" spans="1:11" ht="14.1" customHeight="1">
      <c r="B51" s="362" t="s">
        <v>829</v>
      </c>
      <c r="C51" s="362"/>
      <c r="D51" s="362"/>
      <c r="E51" s="362"/>
      <c r="F51" s="362"/>
      <c r="G51" s="362"/>
      <c r="H51" s="15"/>
      <c r="I51" s="18"/>
      <c r="J51" s="18"/>
      <c r="K51" s="19"/>
    </row>
    <row r="52" spans="1:11" ht="14.1" customHeight="1">
      <c r="B52" s="358"/>
      <c r="C52" s="359"/>
      <c r="D52" s="359"/>
      <c r="E52" s="359"/>
      <c r="F52" s="359"/>
      <c r="G52" s="359"/>
      <c r="H52" s="15"/>
      <c r="I52" s="20"/>
      <c r="J52" s="20"/>
      <c r="K52" s="19"/>
    </row>
    <row r="53" spans="1:11" ht="14.1" customHeight="1">
      <c r="B53" s="357" t="s">
        <v>824</v>
      </c>
      <c r="C53" s="357"/>
      <c r="D53" s="357"/>
      <c r="E53" s="357"/>
      <c r="F53" s="357"/>
      <c r="G53" s="357"/>
      <c r="H53" s="15"/>
      <c r="I53" s="18"/>
      <c r="J53" s="18"/>
    </row>
    <row r="54" spans="1:11" ht="14.1" customHeight="1">
      <c r="B54" s="186"/>
      <c r="C54" s="30" t="s">
        <v>816</v>
      </c>
      <c r="D54" s="355" t="str">
        <f>IF(OR(B52="_keine",B52=""),"",VLOOKUP(B52,'Tab org. Kompost_N-expert'!B:D,3,FALSE))</f>
        <v/>
      </c>
      <c r="E54" s="356"/>
      <c r="F54" s="356"/>
      <c r="G54" s="235" t="str">
        <f>IF(OR(B52="_keine",B52=""),"","kg/t Frischmasse")</f>
        <v/>
      </c>
      <c r="H54" s="15" t="s">
        <v>820</v>
      </c>
      <c r="I54" s="40" t="str">
        <f>IF(OR(B52="",B52="_keine"),"0",(-B54*D54*3/100))</f>
        <v>0</v>
      </c>
      <c r="J54" s="40" t="s">
        <v>832</v>
      </c>
      <c r="K54" s="226"/>
    </row>
    <row r="55" spans="1:11" s="11" customFormat="1" ht="7.5" customHeight="1">
      <c r="A55" s="7"/>
      <c r="B55" s="8"/>
      <c r="C55" s="23"/>
      <c r="D55" s="23"/>
      <c r="E55" s="23"/>
      <c r="F55" s="23"/>
      <c r="G55" s="230"/>
      <c r="H55" s="24"/>
      <c r="I55" s="25"/>
      <c r="J55" s="25"/>
      <c r="K55" s="26"/>
    </row>
    <row r="56" spans="1:11" s="27" customFormat="1" ht="22.5" customHeight="1">
      <c r="B56" s="374" t="s">
        <v>1098</v>
      </c>
      <c r="C56" s="374"/>
      <c r="D56" s="374"/>
      <c r="E56" s="374"/>
      <c r="F56" s="374"/>
      <c r="G56" s="374"/>
      <c r="H56" s="29" t="s">
        <v>1034</v>
      </c>
      <c r="I56" s="41">
        <f>IF(SUM(I13:I54)&lt;0,"0",SUM(I13:I54))</f>
        <v>0</v>
      </c>
      <c r="J56" s="43" t="s">
        <v>832</v>
      </c>
      <c r="K56" s="28"/>
    </row>
    <row r="57" spans="1:11" s="27" customFormat="1" ht="66.75" customHeight="1">
      <c r="B57" s="350" t="s">
        <v>1278</v>
      </c>
      <c r="C57" s="351"/>
      <c r="D57" s="351"/>
      <c r="E57" s="351"/>
      <c r="F57" s="351"/>
      <c r="G57" s="351"/>
      <c r="H57" s="351"/>
      <c r="I57" s="351"/>
      <c r="J57" s="351"/>
      <c r="K57" s="28"/>
    </row>
    <row r="58" spans="1:11" ht="15.75" customHeight="1">
      <c r="A58" s="228"/>
      <c r="B58" s="363"/>
      <c r="C58" s="363"/>
      <c r="D58" s="363"/>
      <c r="E58" s="363"/>
      <c r="F58" s="363"/>
      <c r="G58" s="363"/>
      <c r="H58" s="363"/>
      <c r="I58" s="363"/>
      <c r="J58" s="363"/>
      <c r="K58" s="19"/>
    </row>
    <row r="59" spans="1:11" s="27" customFormat="1" ht="14.25" customHeight="1">
      <c r="A59" s="352"/>
      <c r="B59" s="352"/>
      <c r="C59" s="352"/>
      <c r="D59" s="352"/>
      <c r="E59" s="352"/>
      <c r="F59" s="352"/>
      <c r="G59" s="352"/>
      <c r="H59" s="38"/>
      <c r="I59" s="42"/>
      <c r="J59" s="42"/>
      <c r="K59" s="28"/>
    </row>
  </sheetData>
  <sheetProtection algorithmName="SHA-512" hashValue="zqSfw50JWtk6sHzbrXR4RtQMNtyy6tKsrxyv2pLQhkJeboJJCexdX1+xYi7fgC7s2MHNpiM7XFUl3/f2E03Dew==" saltValue="FXMw04jn/Q5HZ+mPZPbgUw==" spinCount="100000" sheet="1" objects="1" scenarios="1" selectLockedCells="1"/>
  <customSheetViews>
    <customSheetView guid="{0E46878E-35A0-4520-9188-2905702DCB38}" showPageBreaks="1" fitToPage="1" printArea="1" view="pageBreakPreview">
      <selection activeCell="C8" sqref="C8"/>
      <pageMargins left="0.78740157480314965" right="0.19685039370078741" top="0.39370078740157483" bottom="0.39370078740157483" header="0.31496062992125984" footer="0.31496062992125984"/>
      <pageSetup paperSize="9" orientation="landscape" r:id="rId1"/>
    </customSheetView>
  </customSheetViews>
  <mergeCells count="57">
    <mergeCell ref="B13:E13"/>
    <mergeCell ref="D42:F42"/>
    <mergeCell ref="B35:G35"/>
    <mergeCell ref="B36:G36"/>
    <mergeCell ref="B37:G37"/>
    <mergeCell ref="B38:G38"/>
    <mergeCell ref="C17:G17"/>
    <mergeCell ref="C25:G25"/>
    <mergeCell ref="C27:G27"/>
    <mergeCell ref="A18:G18"/>
    <mergeCell ref="C15:F15"/>
    <mergeCell ref="B19:D19"/>
    <mergeCell ref="B14:E14"/>
    <mergeCell ref="B31:G31"/>
    <mergeCell ref="B32:G32"/>
    <mergeCell ref="B43:G43"/>
    <mergeCell ref="C20:G20"/>
    <mergeCell ref="C22:G22"/>
    <mergeCell ref="B30:G30"/>
    <mergeCell ref="B24:G24"/>
    <mergeCell ref="B34:G34"/>
    <mergeCell ref="B23:G23"/>
    <mergeCell ref="B21:G21"/>
    <mergeCell ref="B29:G29"/>
    <mergeCell ref="B33:G33"/>
    <mergeCell ref="B51:G51"/>
    <mergeCell ref="B58:J58"/>
    <mergeCell ref="A1:J1"/>
    <mergeCell ref="I6:J6"/>
    <mergeCell ref="A4:G4"/>
    <mergeCell ref="H5:I5"/>
    <mergeCell ref="A6:C6"/>
    <mergeCell ref="A3:G3"/>
    <mergeCell ref="G12:J12"/>
    <mergeCell ref="A9:J9"/>
    <mergeCell ref="A10:J10"/>
    <mergeCell ref="I7:J7"/>
    <mergeCell ref="A7:C7"/>
    <mergeCell ref="A11:J11"/>
    <mergeCell ref="B56:G56"/>
    <mergeCell ref="B16:G16"/>
    <mergeCell ref="B12:E12"/>
    <mergeCell ref="B57:J57"/>
    <mergeCell ref="A59:G59"/>
    <mergeCell ref="D39:F39"/>
    <mergeCell ref="D46:F46"/>
    <mergeCell ref="D50:F50"/>
    <mergeCell ref="D54:F54"/>
    <mergeCell ref="B53:G53"/>
    <mergeCell ref="B45:G45"/>
    <mergeCell ref="B49:G49"/>
    <mergeCell ref="B48:G48"/>
    <mergeCell ref="B52:G52"/>
    <mergeCell ref="D40:F40"/>
    <mergeCell ref="D41:F41"/>
    <mergeCell ref="B44:G44"/>
    <mergeCell ref="B47:G47"/>
  </mergeCells>
  <conditionalFormatting sqref="I13:J17 I19:J20 I22:J30 I32:J56">
    <cfRule type="cellIs" dxfId="261" priority="13" operator="lessThan">
      <formula>0</formula>
    </cfRule>
  </conditionalFormatting>
  <conditionalFormatting sqref="I59">
    <cfRule type="cellIs" dxfId="260" priority="11" operator="lessThan">
      <formula>0</formula>
    </cfRule>
  </conditionalFormatting>
  <conditionalFormatting sqref="K13">
    <cfRule type="cellIs" dxfId="259" priority="10" operator="lessThan">
      <formula>0</formula>
    </cfRule>
  </conditionalFormatting>
  <conditionalFormatting sqref="K12">
    <cfRule type="cellIs" dxfId="258" priority="9" operator="lessThan">
      <formula>0</formula>
    </cfRule>
  </conditionalFormatting>
  <conditionalFormatting sqref="J59">
    <cfRule type="cellIs" dxfId="257" priority="2" operator="lessThan">
      <formula>0</formula>
    </cfRule>
  </conditionalFormatting>
  <dataValidations count="1">
    <dataValidation allowBlank="1" showInputMessage="1" showErrorMessage="1" errorTitle="Datum" error="Sie haben kein Datum eingegeben!" prompt="TT.MM.JJ" sqref="E7"/>
  </dataValidations>
  <pageMargins left="0.78740157480314965" right="0.39370078740157483" top="0.78740157480314965" bottom="0.19685039370078741" header="0.31496062992125984" footer="0.31496062992125984"/>
  <pageSetup paperSize="9" scale="91" orientation="portrait" r:id="rId2"/>
  <headerFooter>
    <oddHeader xml:space="preserve">&amp;L&amp;8Dienstleistungszentrum Ländlicher Raum (DLR) - Rheinpfalz, Breitenweg 71, 67435 Neustadt/Weinstraße
Alle Angaben ohne Gewähr. </oddHeader>
  </headerFooter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="Kultur aus der Dropdown-Liste auswählen. Für fehelnde Kulturen sind derzeit keine N-Bedarfsermittlungen möglich.">
          <x14:formula1>
            <xm:f>'Tab 4+5 DüV+Abfuhr_G'!$A$2:$A$153</xm:f>
          </x14:formula1>
          <xm:sqref>B13:E13</xm:sqref>
        </x14:dataValidation>
        <x14:dataValidation type="list" allowBlank="1" showInputMessage="1" showErrorMessage="1">
          <x14:formula1>
            <xm:f>'Verfrühung, Vorkultur'!$A$2:$A$3</xm:f>
          </x14:formula1>
          <xm:sqref>C28 B17 C26 B22</xm:sqref>
        </x14:dataValidation>
        <x14:dataValidation type="list" allowBlank="1" showInputMessage="1" showErrorMessage="1" error="Vorfrucht, Zwischenfrucht aus der Dropdown-Liste auswählen. ">
          <x14:formula1>
            <xm:f>'Tab 7 DüV_A-VF'!$A$2:$A$18</xm:f>
          </x14:formula1>
          <xm:sqref>B30:G30</xm:sqref>
        </x14:dataValidation>
        <x14:dataValidation type="list" allowBlank="1" showInputMessage="1" showErrorMessage="1" error="Vorfrucht, Zwischenfrucht aus der Dropdown-Liste auswählen. ">
          <x14:formula1>
            <xm:f>'Tab 7 DüV_A-ZF'!$A$2:$A$9</xm:f>
          </x14:formula1>
          <xm:sqref>B32:G32</xm:sqref>
        </x14:dataValidation>
        <x14:dataValidation type="list" allowBlank="1" showInputMessage="1" showErrorMessage="1" error="Vorkultur Gemüse aus der Dropdown-Liste auswählen. Bei nicht in der Liste enthaltenen Kulturen &quot;sonstige&quot; auswählen.">
          <x14:formula1>
            <xm:f>'Tab 4+5 DüV+Abfuhr_G'!$A$2:$A$127</xm:f>
          </x14:formula1>
          <xm:sqref>B24:G24</xm:sqref>
        </x14:dataValidation>
        <x14:dataValidation type="list" allowBlank="1" showInputMessage="1" showErrorMessage="1" error="Kompost aus der Dropdown-Liste auswählen. Andere sind derzeit nicht verfügbar.">
          <x14:formula1>
            <xm:f>'Tab org. Kompost_N-expert'!$B$2:$B$48</xm:f>
          </x14:formula1>
          <xm:sqref>B44:G44 B48:G48 B52:G52</xm:sqref>
        </x14:dataValidation>
        <x14:dataValidation type="list" allowBlank="1" showInputMessage="1" showErrorMessage="1" error="Dünger aus der Dropdown-Liste auswählen. Andere sind derzeit nicht verfügbar.">
          <x14:formula1>
            <xm:f>'Tab org. D_N-expert'!$B$2:$B$540</xm:f>
          </x14:formula1>
          <xm:sqref>B34:G37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210"/>
  <sheetViews>
    <sheetView zoomScaleNormal="100" zoomScaleSheetLayoutView="100" workbookViewId="0">
      <pane ySplit="1" topLeftCell="A2" activePane="bottomLeft" state="frozen"/>
      <selection pane="bottomLeft" activeCell="D6" sqref="D6"/>
    </sheetView>
  </sheetViews>
  <sheetFormatPr baseColWidth="10" defaultRowHeight="12.75"/>
  <cols>
    <col min="1" max="1" width="67.140625" style="79" customWidth="1"/>
    <col min="2" max="6" width="10.5703125" style="79" customWidth="1"/>
    <col min="7" max="16384" width="11.42578125" style="79"/>
  </cols>
  <sheetData>
    <row r="1" spans="1:7" ht="72" customHeight="1">
      <c r="A1" s="94" t="s">
        <v>1</v>
      </c>
      <c r="B1" s="95" t="s">
        <v>1035</v>
      </c>
      <c r="C1" s="95" t="s">
        <v>1028</v>
      </c>
      <c r="D1" s="95" t="s">
        <v>1029</v>
      </c>
      <c r="E1" s="95" t="s">
        <v>1030</v>
      </c>
      <c r="F1" s="95" t="s">
        <v>1031</v>
      </c>
    </row>
    <row r="2" spans="1:7" ht="12.75" customHeight="1">
      <c r="A2" s="89" t="s">
        <v>875</v>
      </c>
      <c r="B2" s="90">
        <v>70</v>
      </c>
      <c r="C2" s="85">
        <v>1</v>
      </c>
      <c r="D2" s="91">
        <v>0.64</v>
      </c>
      <c r="E2" s="85">
        <v>1.71</v>
      </c>
      <c r="F2" s="85">
        <v>0.1</v>
      </c>
    </row>
    <row r="3" spans="1:7" ht="12.75" customHeight="1">
      <c r="A3" s="86" t="s">
        <v>876</v>
      </c>
      <c r="B3" s="87">
        <v>300</v>
      </c>
      <c r="C3" s="84">
        <v>0.4</v>
      </c>
      <c r="D3" s="88">
        <v>0.3</v>
      </c>
      <c r="E3" s="84">
        <v>0.8</v>
      </c>
      <c r="F3" s="84">
        <v>0.36</v>
      </c>
    </row>
    <row r="4" spans="1:7" ht="12.75" customHeight="1">
      <c r="A4" s="89" t="s">
        <v>877</v>
      </c>
      <c r="B4" s="90">
        <v>220</v>
      </c>
      <c r="C4" s="85">
        <v>0.15</v>
      </c>
      <c r="D4" s="91">
        <v>0.12</v>
      </c>
      <c r="E4" s="85">
        <v>0.4</v>
      </c>
      <c r="F4" s="85">
        <v>0.1</v>
      </c>
    </row>
    <row r="5" spans="1:7" ht="12.75" customHeight="1">
      <c r="A5" s="86" t="s">
        <v>878</v>
      </c>
      <c r="B5" s="87">
        <v>650</v>
      </c>
      <c r="C5" s="84">
        <v>0.57999999999999996</v>
      </c>
      <c r="D5" s="88">
        <v>0.14000000000000001</v>
      </c>
      <c r="E5" s="84">
        <v>0.62</v>
      </c>
      <c r="F5" s="84">
        <v>7.0000000000000007E-2</v>
      </c>
    </row>
    <row r="6" spans="1:7" ht="12.75" customHeight="1">
      <c r="A6" s="89" t="s">
        <v>879</v>
      </c>
      <c r="B6" s="90">
        <v>650</v>
      </c>
      <c r="C6" s="85">
        <v>0.65</v>
      </c>
      <c r="D6" s="91">
        <v>0.14000000000000001</v>
      </c>
      <c r="E6" s="85">
        <v>0.62</v>
      </c>
      <c r="F6" s="85">
        <v>7.0000000000000007E-2</v>
      </c>
    </row>
    <row r="7" spans="1:7" ht="12.75" customHeight="1">
      <c r="A7" s="86" t="s">
        <v>880</v>
      </c>
      <c r="B7" s="87">
        <v>650</v>
      </c>
      <c r="C7" s="84">
        <v>0.57999999999999996</v>
      </c>
      <c r="D7" s="88">
        <v>0.15</v>
      </c>
      <c r="E7" s="84">
        <v>0.65</v>
      </c>
      <c r="F7" s="84">
        <v>7.0000000000000007E-2</v>
      </c>
    </row>
    <row r="8" spans="1:7" ht="12.75" customHeight="1">
      <c r="A8" s="89" t="s">
        <v>881</v>
      </c>
      <c r="B8" s="90">
        <v>650</v>
      </c>
      <c r="C8" s="85">
        <v>0.65</v>
      </c>
      <c r="D8" s="91">
        <v>0.13</v>
      </c>
      <c r="E8" s="85">
        <v>0.6</v>
      </c>
      <c r="F8" s="85">
        <v>0.1</v>
      </c>
    </row>
    <row r="9" spans="1:7" ht="12.75" customHeight="1">
      <c r="A9" s="86" t="s">
        <v>882</v>
      </c>
      <c r="B9" s="87">
        <v>550</v>
      </c>
      <c r="C9" s="84">
        <v>0.38</v>
      </c>
      <c r="D9" s="88">
        <v>0.16</v>
      </c>
      <c r="E9" s="84">
        <v>0.45</v>
      </c>
      <c r="F9" s="84">
        <v>0.09</v>
      </c>
    </row>
    <row r="10" spans="1:7" ht="12.75" customHeight="1">
      <c r="A10" s="89" t="s">
        <v>883</v>
      </c>
      <c r="B10" s="90">
        <v>550</v>
      </c>
      <c r="C10" s="85">
        <v>0.47</v>
      </c>
      <c r="D10" s="91">
        <v>0.18</v>
      </c>
      <c r="E10" s="85">
        <v>0.51</v>
      </c>
      <c r="F10" s="85">
        <v>0.1</v>
      </c>
    </row>
    <row r="11" spans="1:7" ht="12.75" customHeight="1">
      <c r="A11" s="86" t="s">
        <v>884</v>
      </c>
      <c r="B11" s="87">
        <v>850</v>
      </c>
      <c r="C11" s="84">
        <v>0.53</v>
      </c>
      <c r="D11" s="88">
        <v>0.16</v>
      </c>
      <c r="E11" s="84">
        <v>0.65</v>
      </c>
      <c r="F11" s="84">
        <v>0.05</v>
      </c>
    </row>
    <row r="12" spans="1:7" ht="12.75" customHeight="1">
      <c r="A12" s="89" t="s">
        <v>885</v>
      </c>
      <c r="B12" s="90">
        <v>50</v>
      </c>
      <c r="C12" s="85">
        <v>1.38</v>
      </c>
      <c r="D12" s="91">
        <v>0.8</v>
      </c>
      <c r="E12" s="85">
        <v>0.6</v>
      </c>
      <c r="F12" s="85">
        <v>0.2</v>
      </c>
      <c r="G12" s="79" t="s">
        <v>819</v>
      </c>
    </row>
    <row r="13" spans="1:7" ht="12.75" customHeight="1">
      <c r="A13" s="86" t="s">
        <v>886</v>
      </c>
      <c r="B13" s="87">
        <v>50</v>
      </c>
      <c r="C13" s="84">
        <v>1.73</v>
      </c>
      <c r="D13" s="88">
        <v>1.01</v>
      </c>
      <c r="E13" s="84">
        <v>1.79</v>
      </c>
      <c r="F13" s="84">
        <v>0.27</v>
      </c>
    </row>
    <row r="14" spans="1:7" ht="12.75" customHeight="1">
      <c r="A14" s="89" t="s">
        <v>887</v>
      </c>
      <c r="B14" s="90"/>
      <c r="C14" s="85">
        <v>0.5</v>
      </c>
      <c r="D14" s="91">
        <v>0.3</v>
      </c>
      <c r="E14" s="85">
        <v>0.5</v>
      </c>
      <c r="F14" s="85">
        <v>0.1</v>
      </c>
    </row>
    <row r="15" spans="1:7" ht="12.75" customHeight="1">
      <c r="A15" s="86" t="s">
        <v>888</v>
      </c>
      <c r="B15" s="87">
        <v>50</v>
      </c>
      <c r="C15" s="84">
        <v>1.51</v>
      </c>
      <c r="D15" s="88">
        <v>0.8</v>
      </c>
      <c r="E15" s="84">
        <v>0.6</v>
      </c>
      <c r="F15" s="84">
        <v>0.1</v>
      </c>
    </row>
    <row r="16" spans="1:7" ht="12.75" customHeight="1">
      <c r="A16" s="89" t="s">
        <v>889</v>
      </c>
      <c r="B16" s="90">
        <v>50</v>
      </c>
      <c r="C16" s="85">
        <v>1.86</v>
      </c>
      <c r="D16" s="91">
        <v>1.01</v>
      </c>
      <c r="E16" s="85">
        <v>1.79</v>
      </c>
      <c r="F16" s="85">
        <v>0.27</v>
      </c>
    </row>
    <row r="17" spans="1:6" ht="12.75" customHeight="1">
      <c r="A17" s="86" t="s">
        <v>890</v>
      </c>
      <c r="B17" s="87"/>
      <c r="C17" s="84">
        <v>0.5</v>
      </c>
      <c r="D17" s="88">
        <v>0.3</v>
      </c>
      <c r="E17" s="84">
        <v>0.5</v>
      </c>
      <c r="F17" s="84">
        <v>0.1</v>
      </c>
    </row>
    <row r="18" spans="1:6" ht="12.75" customHeight="1">
      <c r="A18" s="89" t="s">
        <v>891</v>
      </c>
      <c r="B18" s="90">
        <v>50</v>
      </c>
      <c r="C18" s="85">
        <v>1.65</v>
      </c>
      <c r="D18" s="91">
        <v>0.8</v>
      </c>
      <c r="E18" s="85">
        <v>0.6</v>
      </c>
      <c r="F18" s="85">
        <v>0.2</v>
      </c>
    </row>
    <row r="19" spans="1:6" s="81" customFormat="1" ht="12.75" customHeight="1">
      <c r="A19" s="86" t="s">
        <v>892</v>
      </c>
      <c r="B19" s="87">
        <v>50</v>
      </c>
      <c r="C19" s="84">
        <v>2.0499999999999998</v>
      </c>
      <c r="D19" s="88">
        <v>1.04</v>
      </c>
      <c r="E19" s="84">
        <v>1.96</v>
      </c>
      <c r="F19" s="84">
        <v>0.28000000000000003</v>
      </c>
    </row>
    <row r="20" spans="1:6" ht="12.75" customHeight="1">
      <c r="A20" s="89" t="s">
        <v>893</v>
      </c>
      <c r="B20" s="90"/>
      <c r="C20" s="85">
        <v>0.5</v>
      </c>
      <c r="D20" s="91">
        <v>0.3</v>
      </c>
      <c r="E20" s="85">
        <v>1.7</v>
      </c>
      <c r="F20" s="85">
        <v>0.1</v>
      </c>
    </row>
    <row r="21" spans="1:6" ht="12.75" customHeight="1">
      <c r="A21" s="86" t="s">
        <v>894</v>
      </c>
      <c r="B21" s="87">
        <v>50</v>
      </c>
      <c r="C21" s="84">
        <v>1.79</v>
      </c>
      <c r="D21" s="88">
        <v>0.8</v>
      </c>
      <c r="E21" s="84">
        <v>0.6</v>
      </c>
      <c r="F21" s="84">
        <v>0.2</v>
      </c>
    </row>
    <row r="22" spans="1:6" s="80" customFormat="1" ht="12.75" customHeight="1">
      <c r="A22" s="89" t="s">
        <v>895</v>
      </c>
      <c r="B22" s="90">
        <v>50</v>
      </c>
      <c r="C22" s="85">
        <v>2.19</v>
      </c>
      <c r="D22" s="91">
        <v>1.04</v>
      </c>
      <c r="E22" s="85">
        <v>1.96</v>
      </c>
      <c r="F22" s="85">
        <v>0.28000000000000003</v>
      </c>
    </row>
    <row r="23" spans="1:6" s="80" customFormat="1" ht="12.75" customHeight="1">
      <c r="A23" s="86" t="s">
        <v>896</v>
      </c>
      <c r="B23" s="87"/>
      <c r="C23" s="84">
        <v>0.5</v>
      </c>
      <c r="D23" s="88">
        <v>0.3</v>
      </c>
      <c r="E23" s="84">
        <v>1.7</v>
      </c>
      <c r="F23" s="84">
        <v>0.1</v>
      </c>
    </row>
    <row r="24" spans="1:6" ht="12.75" customHeight="1">
      <c r="A24" s="89" t="s">
        <v>897</v>
      </c>
      <c r="B24" s="90">
        <v>60</v>
      </c>
      <c r="C24" s="85">
        <v>1.65</v>
      </c>
      <c r="D24" s="91">
        <v>0.8</v>
      </c>
      <c r="E24" s="85">
        <v>0.6</v>
      </c>
      <c r="F24" s="85">
        <v>0.2</v>
      </c>
    </row>
    <row r="25" spans="1:6" ht="12.75" customHeight="1">
      <c r="A25" s="86" t="s">
        <v>898</v>
      </c>
      <c r="B25" s="87">
        <v>60</v>
      </c>
      <c r="C25" s="84">
        <v>2</v>
      </c>
      <c r="D25" s="88">
        <v>1.01</v>
      </c>
      <c r="E25" s="84">
        <v>1.79</v>
      </c>
      <c r="F25" s="84">
        <v>0.27</v>
      </c>
    </row>
    <row r="26" spans="1:6" s="82" customFormat="1" ht="12.75" customHeight="1">
      <c r="A26" s="89" t="s">
        <v>899</v>
      </c>
      <c r="B26" s="90"/>
      <c r="C26" s="85">
        <v>0.5</v>
      </c>
      <c r="D26" s="91">
        <v>0.3</v>
      </c>
      <c r="E26" s="85">
        <v>1.7</v>
      </c>
      <c r="F26" s="85">
        <v>0.1</v>
      </c>
    </row>
    <row r="27" spans="1:6" s="80" customFormat="1" ht="12.75" customHeight="1">
      <c r="A27" s="86" t="s">
        <v>900</v>
      </c>
      <c r="B27" s="87">
        <v>60</v>
      </c>
      <c r="C27" s="84">
        <v>1.79</v>
      </c>
      <c r="D27" s="88">
        <v>0.8</v>
      </c>
      <c r="E27" s="84">
        <v>0.6</v>
      </c>
      <c r="F27" s="84">
        <v>0.2</v>
      </c>
    </row>
    <row r="28" spans="1:6" ht="12.75" customHeight="1">
      <c r="A28" s="89" t="s">
        <v>901</v>
      </c>
      <c r="B28" s="90">
        <v>60</v>
      </c>
      <c r="C28" s="85">
        <v>2.14</v>
      </c>
      <c r="D28" s="91">
        <v>1.01</v>
      </c>
      <c r="E28" s="85">
        <v>1.79</v>
      </c>
      <c r="F28" s="85">
        <v>0.27</v>
      </c>
    </row>
    <row r="29" spans="1:6" ht="12.75" customHeight="1">
      <c r="A29" s="86" t="s">
        <v>902</v>
      </c>
      <c r="B29" s="87"/>
      <c r="C29" s="84">
        <v>0.5</v>
      </c>
      <c r="D29" s="88">
        <v>0.3</v>
      </c>
      <c r="E29" s="84">
        <v>1.7</v>
      </c>
      <c r="F29" s="84">
        <v>0.1</v>
      </c>
    </row>
    <row r="30" spans="1:6" s="80" customFormat="1" ht="12.75" customHeight="1">
      <c r="A30" s="92" t="s">
        <v>903</v>
      </c>
      <c r="B30" s="99">
        <v>250</v>
      </c>
      <c r="C30" s="100">
        <v>0.56000000000000005</v>
      </c>
      <c r="D30" s="100">
        <v>0.23</v>
      </c>
      <c r="E30" s="101">
        <v>0.47</v>
      </c>
      <c r="F30" s="101">
        <v>0.1</v>
      </c>
    </row>
    <row r="31" spans="1:6" ht="12.75" customHeight="1">
      <c r="A31" s="93" t="s">
        <v>904</v>
      </c>
      <c r="B31" s="90">
        <v>50</v>
      </c>
      <c r="C31" s="85">
        <v>1.51</v>
      </c>
      <c r="D31" s="85">
        <v>0.8</v>
      </c>
      <c r="E31" s="85">
        <v>0.6</v>
      </c>
      <c r="F31" s="85">
        <v>0.2</v>
      </c>
    </row>
    <row r="32" spans="1:6" ht="12.75" customHeight="1">
      <c r="A32" s="89" t="s">
        <v>905</v>
      </c>
      <c r="B32" s="90">
        <v>50</v>
      </c>
      <c r="C32" s="85">
        <v>2.06</v>
      </c>
      <c r="D32" s="91">
        <v>1.1299999999999999</v>
      </c>
      <c r="E32" s="85">
        <v>2.4700000000000002</v>
      </c>
      <c r="F32" s="85">
        <v>0.42</v>
      </c>
    </row>
    <row r="33" spans="1:6" ht="12.75" customHeight="1">
      <c r="A33" s="86" t="s">
        <v>906</v>
      </c>
      <c r="B33" s="87"/>
      <c r="C33" s="84">
        <v>0.5</v>
      </c>
      <c r="D33" s="88">
        <v>0.3</v>
      </c>
      <c r="E33" s="84">
        <v>1.7</v>
      </c>
      <c r="F33" s="84">
        <v>0.2</v>
      </c>
    </row>
    <row r="34" spans="1:6" ht="12.75" customHeight="1">
      <c r="A34" s="89" t="s">
        <v>907</v>
      </c>
      <c r="B34" s="90">
        <v>55</v>
      </c>
      <c r="C34" s="85">
        <v>1.65</v>
      </c>
      <c r="D34" s="91">
        <v>0.8</v>
      </c>
      <c r="E34" s="85">
        <v>0.6</v>
      </c>
      <c r="F34" s="85">
        <v>0.1</v>
      </c>
    </row>
    <row r="35" spans="1:6" ht="12.75" customHeight="1">
      <c r="A35" s="86" t="s">
        <v>908</v>
      </c>
      <c r="B35" s="87">
        <v>55</v>
      </c>
      <c r="C35" s="84">
        <v>2.2000000000000002</v>
      </c>
      <c r="D35" s="88">
        <v>1.1299999999999999</v>
      </c>
      <c r="E35" s="84">
        <v>2.4700000000000002</v>
      </c>
      <c r="F35" s="84">
        <v>0.42</v>
      </c>
    </row>
    <row r="36" spans="1:6" s="80" customFormat="1" ht="12.75" customHeight="1">
      <c r="A36" s="89" t="s">
        <v>909</v>
      </c>
      <c r="B36" s="90"/>
      <c r="C36" s="85">
        <v>0.5</v>
      </c>
      <c r="D36" s="91">
        <v>0.3</v>
      </c>
      <c r="E36" s="85">
        <v>1.7</v>
      </c>
      <c r="F36" s="85">
        <v>0.2</v>
      </c>
    </row>
    <row r="37" spans="1:6" ht="12.75" customHeight="1">
      <c r="A37" s="86" t="s">
        <v>910</v>
      </c>
      <c r="B37" s="87">
        <v>80</v>
      </c>
      <c r="C37" s="84">
        <v>1.38</v>
      </c>
      <c r="D37" s="88">
        <v>0.8</v>
      </c>
      <c r="E37" s="84">
        <v>0.5</v>
      </c>
      <c r="F37" s="84">
        <v>0.2</v>
      </c>
    </row>
    <row r="38" spans="1:6" ht="12.75" customHeight="1">
      <c r="A38" s="89" t="s">
        <v>911</v>
      </c>
      <c r="B38" s="90">
        <v>80</v>
      </c>
      <c r="C38" s="85">
        <v>2.2799999999999998</v>
      </c>
      <c r="D38" s="91">
        <v>1.01</v>
      </c>
      <c r="E38" s="85">
        <v>2.5</v>
      </c>
      <c r="F38" s="85">
        <v>0.6</v>
      </c>
    </row>
    <row r="39" spans="1:6" ht="12.75" customHeight="1">
      <c r="A39" s="86" t="s">
        <v>912</v>
      </c>
      <c r="B39" s="87"/>
      <c r="C39" s="84">
        <v>0.9</v>
      </c>
      <c r="D39" s="88">
        <v>0.2</v>
      </c>
      <c r="E39" s="84">
        <v>2</v>
      </c>
      <c r="F39" s="84">
        <v>0.4</v>
      </c>
    </row>
    <row r="40" spans="1:6" ht="12.75" customHeight="1">
      <c r="A40" s="89" t="s">
        <v>913</v>
      </c>
      <c r="B40" s="90">
        <v>80</v>
      </c>
      <c r="C40" s="85">
        <v>1.51</v>
      </c>
      <c r="D40" s="91">
        <v>0.8</v>
      </c>
      <c r="E40" s="85">
        <v>0.5</v>
      </c>
      <c r="F40" s="85">
        <v>0.2</v>
      </c>
    </row>
    <row r="41" spans="1:6" ht="12.75" customHeight="1">
      <c r="A41" s="86" t="s">
        <v>914</v>
      </c>
      <c r="B41" s="87">
        <v>80</v>
      </c>
      <c r="C41" s="84">
        <v>2.41</v>
      </c>
      <c r="D41" s="88">
        <v>1</v>
      </c>
      <c r="E41" s="84">
        <v>2.5</v>
      </c>
      <c r="F41" s="84">
        <v>0.6</v>
      </c>
    </row>
    <row r="42" spans="1:6" ht="12.75" customHeight="1">
      <c r="A42" s="89" t="s">
        <v>915</v>
      </c>
      <c r="B42" s="90"/>
      <c r="C42" s="85">
        <v>0.9</v>
      </c>
      <c r="D42" s="91">
        <v>0.2</v>
      </c>
      <c r="E42" s="85">
        <v>2</v>
      </c>
      <c r="F42" s="85">
        <v>0.4</v>
      </c>
    </row>
    <row r="43" spans="1:6" ht="12.75" customHeight="1">
      <c r="A43" s="86" t="s">
        <v>916</v>
      </c>
      <c r="B43" s="87">
        <v>50</v>
      </c>
      <c r="C43" s="84">
        <v>1.51</v>
      </c>
      <c r="D43" s="88">
        <v>0.8</v>
      </c>
      <c r="E43" s="84">
        <v>0.6</v>
      </c>
      <c r="F43" s="84">
        <v>0.1</v>
      </c>
    </row>
    <row r="44" spans="1:6" ht="12.75" customHeight="1">
      <c r="A44" s="89" t="s">
        <v>917</v>
      </c>
      <c r="B44" s="90">
        <v>50</v>
      </c>
      <c r="C44" s="85">
        <v>1.96</v>
      </c>
      <c r="D44" s="91">
        <v>1.07</v>
      </c>
      <c r="E44" s="85">
        <v>2.4</v>
      </c>
      <c r="F44" s="85">
        <v>0.28000000000000003</v>
      </c>
    </row>
    <row r="45" spans="1:6" ht="12.75" customHeight="1">
      <c r="A45" s="86" t="s">
        <v>918</v>
      </c>
      <c r="B45" s="87"/>
      <c r="C45" s="84">
        <v>0.5</v>
      </c>
      <c r="D45" s="88">
        <v>0.3</v>
      </c>
      <c r="E45" s="84">
        <v>2</v>
      </c>
      <c r="F45" s="84">
        <v>0.2</v>
      </c>
    </row>
    <row r="46" spans="1:6" s="80" customFormat="1" ht="12.75" customHeight="1">
      <c r="A46" s="89" t="s">
        <v>919</v>
      </c>
      <c r="B46" s="90">
        <v>50</v>
      </c>
      <c r="C46" s="85">
        <v>1.65</v>
      </c>
      <c r="D46" s="91">
        <v>0.8</v>
      </c>
      <c r="E46" s="85">
        <v>0.6</v>
      </c>
      <c r="F46" s="85">
        <v>0.1</v>
      </c>
    </row>
    <row r="47" spans="1:6" ht="12.75" customHeight="1">
      <c r="A47" s="86" t="s">
        <v>920</v>
      </c>
      <c r="B47" s="87">
        <v>50</v>
      </c>
      <c r="C47" s="84">
        <v>2.1</v>
      </c>
      <c r="D47" s="88">
        <v>1.07</v>
      </c>
      <c r="E47" s="84">
        <v>2.4</v>
      </c>
      <c r="F47" s="84">
        <v>0.28000000000000003</v>
      </c>
    </row>
    <row r="48" spans="1:6" ht="12.75" customHeight="1">
      <c r="A48" s="89" t="s">
        <v>921</v>
      </c>
      <c r="B48" s="90"/>
      <c r="C48" s="85">
        <v>0.5</v>
      </c>
      <c r="D48" s="91">
        <v>0.3</v>
      </c>
      <c r="E48" s="85">
        <v>2</v>
      </c>
      <c r="F48" s="85">
        <v>0.2</v>
      </c>
    </row>
    <row r="49" spans="1:6" s="80" customFormat="1" ht="12.75" customHeight="1">
      <c r="A49" s="86" t="s">
        <v>922</v>
      </c>
      <c r="B49" s="87">
        <v>70</v>
      </c>
      <c r="C49" s="84">
        <v>1.65</v>
      </c>
      <c r="D49" s="88">
        <v>0.8</v>
      </c>
      <c r="E49" s="84">
        <v>0.6</v>
      </c>
      <c r="F49" s="84">
        <v>0.2</v>
      </c>
    </row>
    <row r="50" spans="1:6" ht="12.75" customHeight="1">
      <c r="A50" s="89" t="s">
        <v>923</v>
      </c>
      <c r="B50" s="90">
        <v>70</v>
      </c>
      <c r="C50" s="85">
        <v>2.1</v>
      </c>
      <c r="D50" s="91">
        <v>1.07</v>
      </c>
      <c r="E50" s="85">
        <v>2.13</v>
      </c>
      <c r="F50" s="85">
        <v>0.38</v>
      </c>
    </row>
    <row r="51" spans="1:6" ht="12.75" customHeight="1">
      <c r="A51" s="86" t="s">
        <v>924</v>
      </c>
      <c r="B51" s="87"/>
      <c r="C51" s="84">
        <v>0.5</v>
      </c>
      <c r="D51" s="88">
        <v>0.3</v>
      </c>
      <c r="E51" s="84">
        <v>1.7</v>
      </c>
      <c r="F51" s="84">
        <v>0.2</v>
      </c>
    </row>
    <row r="52" spans="1:6" s="80" customFormat="1" ht="12.75" customHeight="1">
      <c r="A52" s="89" t="s">
        <v>925</v>
      </c>
      <c r="B52" s="90">
        <v>70</v>
      </c>
      <c r="C52" s="85">
        <v>1.79</v>
      </c>
      <c r="D52" s="91">
        <v>0.8</v>
      </c>
      <c r="E52" s="85">
        <v>0.6</v>
      </c>
      <c r="F52" s="85">
        <v>0.2</v>
      </c>
    </row>
    <row r="53" spans="1:6" ht="12.75" customHeight="1">
      <c r="A53" s="86" t="s">
        <v>926</v>
      </c>
      <c r="B53" s="87">
        <v>70</v>
      </c>
      <c r="C53" s="84">
        <v>2.2400000000000002</v>
      </c>
      <c r="D53" s="88">
        <v>1.07</v>
      </c>
      <c r="E53" s="84">
        <v>2.13</v>
      </c>
      <c r="F53" s="84">
        <v>0.38</v>
      </c>
    </row>
    <row r="54" spans="1:6" ht="12.75" customHeight="1">
      <c r="A54" s="89" t="s">
        <v>927</v>
      </c>
      <c r="B54" s="90"/>
      <c r="C54" s="85">
        <v>0.5</v>
      </c>
      <c r="D54" s="91">
        <v>0.3</v>
      </c>
      <c r="E54" s="85">
        <v>1.7</v>
      </c>
      <c r="F54" s="85">
        <v>0.2</v>
      </c>
    </row>
    <row r="55" spans="1:6" s="80" customFormat="1" ht="12.75" customHeight="1">
      <c r="A55" s="86" t="s">
        <v>928</v>
      </c>
      <c r="B55" s="87">
        <v>70</v>
      </c>
      <c r="C55" s="84">
        <v>1.81</v>
      </c>
      <c r="D55" s="88">
        <v>0.8</v>
      </c>
      <c r="E55" s="84">
        <v>0.6</v>
      </c>
      <c r="F55" s="84">
        <v>0.2</v>
      </c>
    </row>
    <row r="56" spans="1:6" ht="12.75" customHeight="1">
      <c r="A56" s="89" t="s">
        <v>929</v>
      </c>
      <c r="B56" s="90">
        <v>70</v>
      </c>
      <c r="C56" s="85">
        <v>2.21</v>
      </c>
      <c r="D56" s="91">
        <v>1.04</v>
      </c>
      <c r="E56" s="85">
        <v>1.72</v>
      </c>
      <c r="F56" s="85">
        <v>0.36</v>
      </c>
    </row>
    <row r="57" spans="1:6" ht="12.75" customHeight="1">
      <c r="A57" s="86" t="s">
        <v>930</v>
      </c>
      <c r="B57" s="87"/>
      <c r="C57" s="84">
        <v>0.5</v>
      </c>
      <c r="D57" s="88">
        <v>0.3</v>
      </c>
      <c r="E57" s="84">
        <v>1.4</v>
      </c>
      <c r="F57" s="84">
        <v>0.2</v>
      </c>
    </row>
    <row r="58" spans="1:6" ht="12.75" customHeight="1">
      <c r="A58" s="89" t="s">
        <v>931</v>
      </c>
      <c r="B58" s="90">
        <v>70</v>
      </c>
      <c r="C58" s="85">
        <v>2.11</v>
      </c>
      <c r="D58" s="91">
        <v>0.8</v>
      </c>
      <c r="E58" s="85">
        <v>0.6</v>
      </c>
      <c r="F58" s="85">
        <v>0.2</v>
      </c>
    </row>
    <row r="59" spans="1:6" ht="12.75" customHeight="1">
      <c r="A59" s="86" t="s">
        <v>932</v>
      </c>
      <c r="B59" s="87">
        <v>70</v>
      </c>
      <c r="C59" s="84">
        <v>2.5099999999999998</v>
      </c>
      <c r="D59" s="88">
        <v>1.04</v>
      </c>
      <c r="E59" s="84">
        <v>1.72</v>
      </c>
      <c r="F59" s="84">
        <v>0.36</v>
      </c>
    </row>
    <row r="60" spans="1:6" ht="12.75" customHeight="1">
      <c r="A60" s="89" t="s">
        <v>933</v>
      </c>
      <c r="B60" s="90"/>
      <c r="C60" s="85">
        <v>0.5</v>
      </c>
      <c r="D60" s="91">
        <v>0.3</v>
      </c>
      <c r="E60" s="85">
        <v>1.4</v>
      </c>
      <c r="F60" s="85">
        <v>0.2</v>
      </c>
    </row>
    <row r="61" spans="1:6" ht="12.75" customHeight="1">
      <c r="A61" s="86" t="s">
        <v>934</v>
      </c>
      <c r="B61" s="87">
        <v>70</v>
      </c>
      <c r="C61" s="84">
        <v>2.41</v>
      </c>
      <c r="D61" s="88">
        <v>0.8</v>
      </c>
      <c r="E61" s="84">
        <v>0.6</v>
      </c>
      <c r="F61" s="84">
        <v>0.2</v>
      </c>
    </row>
    <row r="62" spans="1:6" ht="12.75" customHeight="1">
      <c r="A62" s="89" t="s">
        <v>935</v>
      </c>
      <c r="B62" s="90">
        <v>70</v>
      </c>
      <c r="C62" s="85">
        <v>2.81</v>
      </c>
      <c r="D62" s="91">
        <v>1.04</v>
      </c>
      <c r="E62" s="85">
        <v>1.72</v>
      </c>
      <c r="F62" s="85">
        <v>0.36</v>
      </c>
    </row>
    <row r="63" spans="1:6" ht="12.75" customHeight="1">
      <c r="A63" s="86" t="s">
        <v>936</v>
      </c>
      <c r="B63" s="87"/>
      <c r="C63" s="84">
        <v>0.5</v>
      </c>
      <c r="D63" s="88">
        <v>0.3</v>
      </c>
      <c r="E63" s="84">
        <v>1.4</v>
      </c>
      <c r="F63" s="84">
        <v>0.2</v>
      </c>
    </row>
    <row r="64" spans="1:6" ht="12.75" customHeight="1">
      <c r="A64" s="89" t="s">
        <v>866</v>
      </c>
      <c r="B64" s="90">
        <v>40</v>
      </c>
      <c r="C64" s="85">
        <v>1.3</v>
      </c>
      <c r="D64" s="91">
        <v>0.6</v>
      </c>
      <c r="E64" s="85">
        <v>1.5</v>
      </c>
      <c r="F64" s="85">
        <v>0.4</v>
      </c>
    </row>
    <row r="65" spans="1:6" ht="12.75" customHeight="1">
      <c r="A65" s="86" t="s">
        <v>867</v>
      </c>
      <c r="B65" s="87">
        <v>55</v>
      </c>
      <c r="C65" s="84">
        <v>1.8</v>
      </c>
      <c r="D65" s="88">
        <v>0.7</v>
      </c>
      <c r="E65" s="84">
        <v>2.5</v>
      </c>
      <c r="F65" s="84">
        <v>0.4</v>
      </c>
    </row>
    <row r="66" spans="1:6" ht="12.75" customHeight="1">
      <c r="A66" s="89" t="s">
        <v>868</v>
      </c>
      <c r="B66" s="90">
        <v>75</v>
      </c>
      <c r="C66" s="85">
        <v>2.2000000000000002</v>
      </c>
      <c r="D66" s="91">
        <v>0.95</v>
      </c>
      <c r="E66" s="85">
        <v>2.9</v>
      </c>
      <c r="F66" s="85">
        <v>0.4</v>
      </c>
    </row>
    <row r="67" spans="1:6" ht="12.75" customHeight="1">
      <c r="A67" s="86" t="s">
        <v>869</v>
      </c>
      <c r="B67" s="87">
        <v>90</v>
      </c>
      <c r="C67" s="84">
        <v>2.7</v>
      </c>
      <c r="D67" s="88">
        <v>1</v>
      </c>
      <c r="E67" s="84">
        <v>3</v>
      </c>
      <c r="F67" s="84">
        <v>0.5</v>
      </c>
    </row>
    <row r="68" spans="1:6" ht="12.75" customHeight="1">
      <c r="A68" s="89" t="s">
        <v>870</v>
      </c>
      <c r="B68" s="90">
        <v>110</v>
      </c>
      <c r="C68" s="85">
        <v>2.8</v>
      </c>
      <c r="D68" s="91">
        <v>1</v>
      </c>
      <c r="E68" s="85">
        <v>3</v>
      </c>
      <c r="F68" s="85">
        <v>0.5</v>
      </c>
    </row>
    <row r="69" spans="1:6" ht="12.75" customHeight="1">
      <c r="A69" s="86" t="s">
        <v>945</v>
      </c>
      <c r="B69" s="87"/>
      <c r="C69" s="84">
        <v>0.3</v>
      </c>
      <c r="D69" s="88">
        <v>0.08</v>
      </c>
      <c r="E69" s="84">
        <v>0.63</v>
      </c>
      <c r="F69" s="84">
        <v>0.08</v>
      </c>
    </row>
    <row r="70" spans="1:6" ht="12.75" customHeight="1">
      <c r="A70" s="86" t="s">
        <v>943</v>
      </c>
      <c r="B70" s="87">
        <v>600</v>
      </c>
      <c r="C70" s="84">
        <v>0.18</v>
      </c>
      <c r="D70" s="88">
        <v>0.09</v>
      </c>
      <c r="E70" s="84">
        <v>0.5</v>
      </c>
      <c r="F70" s="84">
        <v>0.05</v>
      </c>
    </row>
    <row r="71" spans="1:6" ht="12.75" customHeight="1">
      <c r="A71" s="89" t="s">
        <v>944</v>
      </c>
      <c r="B71" s="90">
        <v>600</v>
      </c>
      <c r="C71" s="85">
        <v>0.3</v>
      </c>
      <c r="D71" s="91">
        <v>0.12</v>
      </c>
      <c r="E71" s="85">
        <v>0.75</v>
      </c>
      <c r="F71" s="85">
        <v>0.08</v>
      </c>
    </row>
    <row r="72" spans="1:6" ht="12.75" customHeight="1">
      <c r="A72" s="89" t="s">
        <v>938</v>
      </c>
      <c r="B72" s="90">
        <v>400</v>
      </c>
      <c r="C72" s="85">
        <v>0.39</v>
      </c>
      <c r="D72" s="91">
        <v>0.15</v>
      </c>
      <c r="E72" s="85">
        <v>0.67</v>
      </c>
      <c r="F72" s="85">
        <v>0.06</v>
      </c>
    </row>
    <row r="73" spans="1:6" ht="12.75" customHeight="1">
      <c r="A73" s="86" t="s">
        <v>937</v>
      </c>
      <c r="B73" s="87">
        <v>400</v>
      </c>
      <c r="C73" s="84">
        <v>0.35</v>
      </c>
      <c r="D73" s="88">
        <v>0.14000000000000001</v>
      </c>
      <c r="E73" s="84">
        <v>0.6</v>
      </c>
      <c r="F73" s="84">
        <v>0.04</v>
      </c>
    </row>
    <row r="74" spans="1:6" ht="12.75" customHeight="1">
      <c r="A74" s="86" t="s">
        <v>939</v>
      </c>
      <c r="B74" s="87"/>
      <c r="C74" s="84">
        <v>0.2</v>
      </c>
      <c r="D74" s="88">
        <v>0.04</v>
      </c>
      <c r="E74" s="84">
        <v>0.36</v>
      </c>
      <c r="F74" s="84">
        <v>0.08</v>
      </c>
    </row>
    <row r="75" spans="1:6" s="80" customFormat="1" ht="12.75" customHeight="1">
      <c r="A75" s="89" t="s">
        <v>948</v>
      </c>
      <c r="B75" s="90"/>
      <c r="C75" s="85">
        <v>0.25</v>
      </c>
      <c r="D75" s="91">
        <v>0.06</v>
      </c>
      <c r="E75" s="85">
        <v>0.38</v>
      </c>
      <c r="F75" s="85">
        <v>0.08</v>
      </c>
    </row>
    <row r="76" spans="1:6" ht="12.75" customHeight="1">
      <c r="A76" s="89" t="s">
        <v>946</v>
      </c>
      <c r="B76" s="90">
        <v>900</v>
      </c>
      <c r="C76" s="85">
        <v>0.14000000000000001</v>
      </c>
      <c r="D76" s="91">
        <v>7.0000000000000007E-2</v>
      </c>
      <c r="E76" s="85">
        <v>0.45</v>
      </c>
      <c r="F76" s="85">
        <v>0.05</v>
      </c>
    </row>
    <row r="77" spans="1:6" s="82" customFormat="1" ht="12.75" customHeight="1">
      <c r="A77" s="86" t="s">
        <v>947</v>
      </c>
      <c r="B77" s="87">
        <v>900</v>
      </c>
      <c r="C77" s="84">
        <v>0.24</v>
      </c>
      <c r="D77" s="88">
        <v>0.09</v>
      </c>
      <c r="E77" s="84">
        <v>0.6</v>
      </c>
      <c r="F77" s="84">
        <v>0.08</v>
      </c>
    </row>
    <row r="78" spans="1:6" ht="12.75" customHeight="1">
      <c r="A78" s="89" t="s">
        <v>942</v>
      </c>
      <c r="B78" s="90"/>
      <c r="C78" s="85">
        <v>0.4</v>
      </c>
      <c r="D78" s="91">
        <v>0.11</v>
      </c>
      <c r="E78" s="85">
        <v>0.71</v>
      </c>
      <c r="F78" s="85">
        <v>0.1</v>
      </c>
    </row>
    <row r="79" spans="1:6" ht="12.75" customHeight="1">
      <c r="A79" s="89" t="s">
        <v>940</v>
      </c>
      <c r="B79" s="90">
        <v>600</v>
      </c>
      <c r="C79" s="85">
        <v>0.18</v>
      </c>
      <c r="D79" s="91">
        <v>0.1</v>
      </c>
      <c r="E79" s="85">
        <v>0.25</v>
      </c>
      <c r="F79" s="85">
        <v>0.08</v>
      </c>
    </row>
    <row r="80" spans="1:6" ht="12.75" customHeight="1">
      <c r="A80" s="86" t="s">
        <v>941</v>
      </c>
      <c r="B80" s="87">
        <v>600</v>
      </c>
      <c r="C80" s="84">
        <v>0.46</v>
      </c>
      <c r="D80" s="88">
        <v>0.18</v>
      </c>
      <c r="E80" s="84">
        <v>0.75</v>
      </c>
      <c r="F80" s="84">
        <v>0.15</v>
      </c>
    </row>
    <row r="81" spans="1:6" ht="12.75" customHeight="1">
      <c r="A81" s="89" t="s">
        <v>861</v>
      </c>
      <c r="B81" s="90">
        <v>17.5</v>
      </c>
      <c r="C81" s="85">
        <v>3</v>
      </c>
      <c r="D81" s="91">
        <v>1</v>
      </c>
      <c r="E81" s="85">
        <v>2.6</v>
      </c>
      <c r="F81" s="85">
        <v>0.5</v>
      </c>
    </row>
    <row r="82" spans="1:6" ht="12.75" customHeight="1">
      <c r="A82" s="89" t="s">
        <v>863</v>
      </c>
      <c r="B82" s="90"/>
      <c r="C82" s="85">
        <v>8.5</v>
      </c>
      <c r="D82" s="91">
        <v>2</v>
      </c>
      <c r="E82" s="85">
        <v>7.3</v>
      </c>
      <c r="F82" s="85">
        <v>2.2000000000000002</v>
      </c>
    </row>
    <row r="83" spans="1:6" ht="12.75" customHeight="1">
      <c r="A83" s="86" t="s">
        <v>862</v>
      </c>
      <c r="B83" s="87">
        <v>140</v>
      </c>
      <c r="C83" s="84">
        <v>0.69</v>
      </c>
      <c r="D83" s="88">
        <v>0.13</v>
      </c>
      <c r="E83" s="84">
        <v>0.59</v>
      </c>
      <c r="F83" s="84">
        <v>0.21</v>
      </c>
    </row>
    <row r="84" spans="1:6" ht="12.75" customHeight="1">
      <c r="A84" s="89" t="s">
        <v>949</v>
      </c>
      <c r="B84" s="90">
        <v>35</v>
      </c>
      <c r="C84" s="85">
        <v>4.0999999999999996</v>
      </c>
      <c r="D84" s="91">
        <v>1.2</v>
      </c>
      <c r="E84" s="85">
        <v>1.4</v>
      </c>
      <c r="F84" s="85">
        <v>0.2</v>
      </c>
    </row>
    <row r="85" spans="1:6" ht="12.75" customHeight="1">
      <c r="A85" s="86" t="s">
        <v>950</v>
      </c>
      <c r="B85" s="87">
        <v>35</v>
      </c>
      <c r="C85" s="84">
        <v>5.6</v>
      </c>
      <c r="D85" s="88">
        <v>1.5</v>
      </c>
      <c r="E85" s="84">
        <v>4</v>
      </c>
      <c r="F85" s="84">
        <v>0.5</v>
      </c>
    </row>
    <row r="86" spans="1:6">
      <c r="A86" s="89" t="s">
        <v>951</v>
      </c>
      <c r="B86" s="90"/>
      <c r="C86" s="85">
        <v>1.5</v>
      </c>
      <c r="D86" s="91">
        <v>0.3</v>
      </c>
      <c r="E86" s="85">
        <v>2.6</v>
      </c>
      <c r="F86" s="85">
        <v>0.3</v>
      </c>
    </row>
    <row r="87" spans="1:6">
      <c r="A87" s="86" t="s">
        <v>952</v>
      </c>
      <c r="B87" s="87">
        <v>35</v>
      </c>
      <c r="C87" s="84">
        <v>3.6</v>
      </c>
      <c r="D87" s="88">
        <v>1.1000000000000001</v>
      </c>
      <c r="E87" s="84">
        <v>1.4</v>
      </c>
      <c r="F87" s="84">
        <v>0.2</v>
      </c>
    </row>
    <row r="88" spans="1:6">
      <c r="A88" s="89" t="s">
        <v>953</v>
      </c>
      <c r="B88" s="90">
        <v>35</v>
      </c>
      <c r="C88" s="85">
        <v>5.0999999999999996</v>
      </c>
      <c r="D88" s="91">
        <v>1.4</v>
      </c>
      <c r="E88" s="85">
        <v>4</v>
      </c>
      <c r="F88" s="85">
        <v>0.5</v>
      </c>
    </row>
    <row r="89" spans="1:6">
      <c r="A89" s="86" t="s">
        <v>954</v>
      </c>
      <c r="B89" s="87"/>
      <c r="C89" s="84">
        <v>1.5</v>
      </c>
      <c r="D89" s="88">
        <v>0.3</v>
      </c>
      <c r="E89" s="84">
        <v>2.6</v>
      </c>
      <c r="F89" s="84">
        <v>0.3</v>
      </c>
    </row>
    <row r="90" spans="1:6">
      <c r="A90" s="89" t="s">
        <v>955</v>
      </c>
      <c r="B90" s="90">
        <v>30</v>
      </c>
      <c r="C90" s="85">
        <v>4.4800000000000004</v>
      </c>
      <c r="D90" s="91">
        <v>1.02</v>
      </c>
      <c r="E90" s="85">
        <v>0.99</v>
      </c>
      <c r="F90" s="85">
        <v>0.2</v>
      </c>
    </row>
    <row r="91" spans="1:6">
      <c r="A91" s="86" t="s">
        <v>956</v>
      </c>
      <c r="B91" s="87">
        <v>30</v>
      </c>
      <c r="C91" s="84">
        <v>5.98</v>
      </c>
      <c r="D91" s="88">
        <v>1.32</v>
      </c>
      <c r="E91" s="84">
        <v>3.59</v>
      </c>
      <c r="F91" s="84">
        <v>0.5</v>
      </c>
    </row>
    <row r="92" spans="1:6">
      <c r="A92" s="89" t="s">
        <v>957</v>
      </c>
      <c r="B92" s="90"/>
      <c r="C92" s="85">
        <v>1.5</v>
      </c>
      <c r="D92" s="91">
        <v>0.3</v>
      </c>
      <c r="E92" s="85">
        <v>2.6</v>
      </c>
      <c r="F92" s="85">
        <v>0.3</v>
      </c>
    </row>
    <row r="93" spans="1:6">
      <c r="A93" s="86" t="s">
        <v>958</v>
      </c>
      <c r="B93" s="87">
        <v>20</v>
      </c>
      <c r="C93" s="84">
        <v>4.4000000000000004</v>
      </c>
      <c r="D93" s="88">
        <v>1.1000000000000001</v>
      </c>
      <c r="E93" s="84">
        <v>1.4</v>
      </c>
      <c r="F93" s="84">
        <v>0.33</v>
      </c>
    </row>
    <row r="94" spans="1:6">
      <c r="A94" s="89" t="s">
        <v>959</v>
      </c>
      <c r="B94" s="90">
        <v>20</v>
      </c>
      <c r="C94" s="85">
        <v>5.9</v>
      </c>
      <c r="D94" s="91">
        <v>1.4</v>
      </c>
      <c r="E94" s="85">
        <v>4</v>
      </c>
      <c r="F94" s="85">
        <v>0.63</v>
      </c>
    </row>
    <row r="95" spans="1:6">
      <c r="A95" s="86" t="s">
        <v>960</v>
      </c>
      <c r="B95" s="87"/>
      <c r="C95" s="84">
        <v>1.5</v>
      </c>
      <c r="D95" s="88">
        <v>0.3</v>
      </c>
      <c r="E95" s="84">
        <v>2.6</v>
      </c>
      <c r="F95" s="84">
        <v>0.3</v>
      </c>
    </row>
    <row r="96" spans="1:6">
      <c r="A96" s="86" t="s">
        <v>978</v>
      </c>
      <c r="B96" s="87">
        <v>100</v>
      </c>
      <c r="C96" s="84">
        <v>0.2</v>
      </c>
      <c r="D96" s="88">
        <v>7.0000000000000007E-2</v>
      </c>
      <c r="E96" s="84">
        <v>0.23</v>
      </c>
      <c r="F96" s="84">
        <v>0.05</v>
      </c>
    </row>
    <row r="97" spans="1:6">
      <c r="A97" s="86" t="s">
        <v>976</v>
      </c>
      <c r="B97" s="87">
        <v>140</v>
      </c>
      <c r="C97" s="84">
        <v>0.17</v>
      </c>
      <c r="D97" s="88">
        <v>0.05</v>
      </c>
      <c r="E97" s="84">
        <v>0.28000000000000003</v>
      </c>
      <c r="F97" s="84">
        <v>0.03</v>
      </c>
    </row>
    <row r="98" spans="1:6">
      <c r="A98" s="89" t="s">
        <v>981</v>
      </c>
      <c r="B98" s="90"/>
      <c r="C98" s="85">
        <v>1.9</v>
      </c>
      <c r="D98" s="91">
        <v>0.7</v>
      </c>
      <c r="E98" s="85">
        <v>0.6</v>
      </c>
      <c r="F98" s="85">
        <v>0.2</v>
      </c>
    </row>
    <row r="99" spans="1:6">
      <c r="A99" s="89" t="s">
        <v>977</v>
      </c>
      <c r="B99" s="90">
        <v>100</v>
      </c>
      <c r="C99" s="85">
        <v>0.2</v>
      </c>
      <c r="D99" s="91">
        <v>0.04</v>
      </c>
      <c r="E99" s="85">
        <v>0.2</v>
      </c>
      <c r="F99" s="85">
        <v>0.05</v>
      </c>
    </row>
    <row r="100" spans="1:6">
      <c r="A100" s="89" t="s">
        <v>979</v>
      </c>
      <c r="B100" s="90">
        <v>100</v>
      </c>
      <c r="C100" s="85">
        <v>0.2</v>
      </c>
      <c r="D100" s="91">
        <v>0.1</v>
      </c>
      <c r="E100" s="85">
        <v>0.3</v>
      </c>
      <c r="F100" s="85">
        <v>0.03</v>
      </c>
    </row>
    <row r="101" spans="1:6">
      <c r="A101" s="89" t="s">
        <v>983</v>
      </c>
      <c r="B101" s="90">
        <v>400</v>
      </c>
      <c r="C101" s="85">
        <v>0.11</v>
      </c>
      <c r="D101" s="91">
        <v>0.03</v>
      </c>
      <c r="E101" s="85">
        <v>0.19</v>
      </c>
      <c r="F101" s="85">
        <v>0.03</v>
      </c>
    </row>
    <row r="102" spans="1:6">
      <c r="A102" s="86" t="s">
        <v>974</v>
      </c>
      <c r="B102" s="87">
        <v>200</v>
      </c>
      <c r="C102" s="84">
        <v>0.21</v>
      </c>
      <c r="D102" s="88">
        <v>0.06</v>
      </c>
      <c r="E102" s="84">
        <v>0.25</v>
      </c>
      <c r="F102" s="84">
        <v>0.03</v>
      </c>
    </row>
    <row r="103" spans="1:6" ht="14.25" customHeight="1">
      <c r="A103" s="89" t="s">
        <v>973</v>
      </c>
      <c r="B103" s="90">
        <v>400</v>
      </c>
      <c r="C103" s="85">
        <v>0.11</v>
      </c>
      <c r="D103" s="91">
        <v>0.03</v>
      </c>
      <c r="E103" s="85">
        <v>0.18</v>
      </c>
      <c r="F103" s="85">
        <v>0.01</v>
      </c>
    </row>
    <row r="104" spans="1:6" ht="14.25" customHeight="1">
      <c r="A104" s="89" t="s">
        <v>975</v>
      </c>
      <c r="B104" s="90">
        <v>200</v>
      </c>
      <c r="C104" s="85">
        <v>0.16</v>
      </c>
      <c r="D104" s="91">
        <v>0.05</v>
      </c>
      <c r="E104" s="85">
        <v>0.32</v>
      </c>
      <c r="F104" s="85">
        <v>0.02</v>
      </c>
    </row>
    <row r="105" spans="1:6" ht="14.25" customHeight="1">
      <c r="A105" s="86" t="s">
        <v>980</v>
      </c>
      <c r="B105" s="87">
        <v>100</v>
      </c>
      <c r="C105" s="84">
        <v>0.2</v>
      </c>
      <c r="D105" s="88">
        <v>7.0000000000000007E-2</v>
      </c>
      <c r="E105" s="84">
        <v>0.28999999999999998</v>
      </c>
      <c r="F105" s="84">
        <v>0.02</v>
      </c>
    </row>
    <row r="106" spans="1:6" ht="14.25" customHeight="1">
      <c r="A106" s="86" t="s">
        <v>984</v>
      </c>
      <c r="B106" s="87">
        <v>200</v>
      </c>
      <c r="C106" s="84">
        <v>0.18</v>
      </c>
      <c r="D106" s="88">
        <v>0.06</v>
      </c>
      <c r="E106" s="84">
        <v>0.3</v>
      </c>
      <c r="F106" s="84">
        <v>0.03</v>
      </c>
    </row>
    <row r="107" spans="1:6" ht="14.25" customHeight="1">
      <c r="A107" s="86" t="s">
        <v>982</v>
      </c>
      <c r="B107" s="87"/>
      <c r="C107" s="84">
        <v>1.9</v>
      </c>
      <c r="D107" s="88">
        <v>0.7</v>
      </c>
      <c r="E107" s="84">
        <v>0.6</v>
      </c>
      <c r="F107" s="84">
        <v>0.2</v>
      </c>
    </row>
    <row r="108" spans="1:6" ht="14.25" customHeight="1">
      <c r="A108" s="86" t="s">
        <v>970</v>
      </c>
      <c r="B108" s="87">
        <v>20</v>
      </c>
      <c r="C108" s="84">
        <v>3.5</v>
      </c>
      <c r="D108" s="88">
        <v>1.2</v>
      </c>
      <c r="E108" s="84">
        <v>1</v>
      </c>
      <c r="F108" s="84">
        <v>0.8</v>
      </c>
    </row>
    <row r="109" spans="1:6" ht="14.25" customHeight="1">
      <c r="A109" s="89" t="s">
        <v>971</v>
      </c>
      <c r="B109" s="90">
        <v>20</v>
      </c>
      <c r="C109" s="85">
        <v>4.3</v>
      </c>
      <c r="D109" s="91">
        <v>1.5</v>
      </c>
      <c r="E109" s="85">
        <v>3.1</v>
      </c>
      <c r="F109" s="85">
        <v>0.95</v>
      </c>
    </row>
    <row r="110" spans="1:6">
      <c r="A110" s="86" t="s">
        <v>972</v>
      </c>
      <c r="B110" s="87"/>
      <c r="C110" s="84">
        <v>0.53</v>
      </c>
      <c r="D110" s="88">
        <v>0.2</v>
      </c>
      <c r="E110" s="84">
        <v>1.4</v>
      </c>
      <c r="F110" s="84">
        <v>0.1</v>
      </c>
    </row>
    <row r="111" spans="1:6">
      <c r="A111" s="89" t="s">
        <v>961</v>
      </c>
      <c r="B111" s="90">
        <v>30</v>
      </c>
      <c r="C111" s="85">
        <v>3.35</v>
      </c>
      <c r="D111" s="91">
        <v>1.8</v>
      </c>
      <c r="E111" s="85">
        <v>1</v>
      </c>
      <c r="F111" s="85">
        <v>0.5</v>
      </c>
    </row>
    <row r="112" spans="1:6">
      <c r="A112" s="86" t="s">
        <v>962</v>
      </c>
      <c r="B112" s="87">
        <v>30</v>
      </c>
      <c r="C112" s="84">
        <v>4.54</v>
      </c>
      <c r="D112" s="88">
        <v>2.48</v>
      </c>
      <c r="E112" s="84">
        <v>5</v>
      </c>
      <c r="F112" s="84">
        <v>1.2</v>
      </c>
    </row>
    <row r="113" spans="1:6">
      <c r="A113" s="89" t="s">
        <v>963</v>
      </c>
      <c r="B113" s="90"/>
      <c r="C113" s="85">
        <v>0.7</v>
      </c>
      <c r="D113" s="91">
        <v>0.4</v>
      </c>
      <c r="E113" s="85">
        <v>2.35</v>
      </c>
      <c r="F113" s="85">
        <v>0.41</v>
      </c>
    </row>
    <row r="114" spans="1:6">
      <c r="A114" s="89" t="s">
        <v>967</v>
      </c>
      <c r="B114" s="90">
        <v>15</v>
      </c>
      <c r="C114" s="85">
        <v>5.08</v>
      </c>
      <c r="D114" s="91">
        <v>1.77</v>
      </c>
      <c r="E114" s="85">
        <v>0.93</v>
      </c>
      <c r="F114" s="85">
        <v>0.3</v>
      </c>
    </row>
    <row r="115" spans="1:6">
      <c r="A115" s="86" t="s">
        <v>968</v>
      </c>
      <c r="B115" s="87">
        <v>15</v>
      </c>
      <c r="C115" s="84">
        <v>6.13</v>
      </c>
      <c r="D115" s="88">
        <v>2.37</v>
      </c>
      <c r="E115" s="84">
        <v>4.68</v>
      </c>
      <c r="F115" s="84">
        <v>0.53</v>
      </c>
    </row>
    <row r="116" spans="1:6">
      <c r="A116" s="89" t="s">
        <v>969</v>
      </c>
      <c r="B116" s="90"/>
      <c r="C116" s="85">
        <v>0.7</v>
      </c>
      <c r="D116" s="91">
        <v>0.4</v>
      </c>
      <c r="E116" s="85">
        <v>2.5</v>
      </c>
      <c r="F116" s="85">
        <v>0.15</v>
      </c>
    </row>
    <row r="117" spans="1:6">
      <c r="A117" s="86" t="s">
        <v>964</v>
      </c>
      <c r="B117" s="87">
        <v>30</v>
      </c>
      <c r="C117" s="84">
        <v>2.91</v>
      </c>
      <c r="D117" s="88">
        <v>1.6</v>
      </c>
      <c r="E117" s="84">
        <v>2.4</v>
      </c>
      <c r="F117" s="84">
        <v>0.6</v>
      </c>
    </row>
    <row r="118" spans="1:6">
      <c r="A118" s="89" t="s">
        <v>965</v>
      </c>
      <c r="B118" s="90">
        <v>30</v>
      </c>
      <c r="C118" s="85">
        <v>4.91</v>
      </c>
      <c r="D118" s="91">
        <v>3.4</v>
      </c>
      <c r="E118" s="85">
        <v>11.4</v>
      </c>
      <c r="F118" s="85">
        <v>1.2</v>
      </c>
    </row>
    <row r="119" spans="1:6">
      <c r="A119" s="86" t="s">
        <v>966</v>
      </c>
      <c r="B119" s="87"/>
      <c r="C119" s="84">
        <v>1</v>
      </c>
      <c r="D119" s="88">
        <v>0.9</v>
      </c>
      <c r="E119" s="84">
        <v>4.5</v>
      </c>
      <c r="F119" s="84">
        <v>0.3</v>
      </c>
    </row>
    <row r="120" spans="1:6">
      <c r="A120" s="86" t="s">
        <v>850</v>
      </c>
      <c r="B120" s="87">
        <v>600</v>
      </c>
      <c r="C120" s="84">
        <v>0.43</v>
      </c>
      <c r="D120" s="88">
        <v>0.14000000000000001</v>
      </c>
      <c r="E120" s="84">
        <v>0.49</v>
      </c>
      <c r="F120" s="84">
        <v>0.1</v>
      </c>
    </row>
    <row r="121" spans="1:6">
      <c r="A121" s="86" t="s">
        <v>864</v>
      </c>
      <c r="B121" s="87">
        <v>30</v>
      </c>
      <c r="C121" s="84">
        <v>4</v>
      </c>
      <c r="D121" s="88">
        <v>1.3</v>
      </c>
      <c r="E121" s="84">
        <v>6.9</v>
      </c>
      <c r="F121" s="84">
        <v>0.4</v>
      </c>
    </row>
    <row r="122" spans="1:6">
      <c r="A122" s="89" t="s">
        <v>865</v>
      </c>
      <c r="B122" s="90">
        <v>30</v>
      </c>
      <c r="C122" s="85">
        <v>2.1</v>
      </c>
      <c r="D122" s="91">
        <v>0.77</v>
      </c>
      <c r="E122" s="85">
        <v>6.7</v>
      </c>
      <c r="F122" s="85">
        <v>0.4</v>
      </c>
    </row>
    <row r="123" spans="1:6">
      <c r="A123" s="89" t="s">
        <v>851</v>
      </c>
      <c r="B123" s="90">
        <v>600</v>
      </c>
      <c r="C123" s="85">
        <v>0.26</v>
      </c>
      <c r="D123" s="91">
        <v>0.14000000000000001</v>
      </c>
      <c r="E123" s="85">
        <v>0.62</v>
      </c>
      <c r="F123" s="85">
        <v>0.02</v>
      </c>
    </row>
    <row r="124" spans="1:6" ht="13.5" customHeight="1">
      <c r="A124" s="89" t="s">
        <v>1013</v>
      </c>
      <c r="B124" s="90">
        <v>20</v>
      </c>
      <c r="C124" s="85">
        <v>2.2000000000000002</v>
      </c>
      <c r="D124" s="91">
        <v>0.7</v>
      </c>
      <c r="E124" s="85">
        <v>0.5</v>
      </c>
      <c r="F124" s="85">
        <v>0.17</v>
      </c>
    </row>
    <row r="125" spans="1:6" ht="13.5" customHeight="1">
      <c r="A125" s="86" t="s">
        <v>1014</v>
      </c>
      <c r="B125" s="87">
        <v>20</v>
      </c>
      <c r="C125" s="84">
        <v>14.2</v>
      </c>
      <c r="D125" s="88">
        <v>3.5</v>
      </c>
      <c r="E125" s="84">
        <v>13.3</v>
      </c>
      <c r="F125" s="84">
        <v>3.37</v>
      </c>
    </row>
    <row r="126" spans="1:6" ht="13.5" customHeight="1">
      <c r="A126" s="89" t="s">
        <v>1015</v>
      </c>
      <c r="B126" s="90"/>
      <c r="C126" s="85">
        <v>1.5</v>
      </c>
      <c r="D126" s="91">
        <v>0.35</v>
      </c>
      <c r="E126" s="85">
        <v>1.6</v>
      </c>
      <c r="F126" s="85">
        <v>0.4</v>
      </c>
    </row>
    <row r="127" spans="1:6">
      <c r="A127" s="86" t="s">
        <v>1016</v>
      </c>
      <c r="B127" s="87">
        <v>4</v>
      </c>
      <c r="C127" s="84">
        <v>5.5</v>
      </c>
      <c r="D127" s="88">
        <v>1.46</v>
      </c>
      <c r="E127" s="84">
        <v>1.25</v>
      </c>
      <c r="F127" s="84">
        <v>0.27</v>
      </c>
    </row>
    <row r="128" spans="1:6">
      <c r="A128" s="89" t="s">
        <v>1017</v>
      </c>
      <c r="B128" s="90">
        <v>4</v>
      </c>
      <c r="C128" s="85">
        <v>17.5</v>
      </c>
      <c r="D128" s="91">
        <v>3.86</v>
      </c>
      <c r="E128" s="85">
        <v>22.05</v>
      </c>
      <c r="F128" s="85">
        <v>3.47</v>
      </c>
    </row>
    <row r="129" spans="1:6">
      <c r="A129" s="86" t="s">
        <v>1018</v>
      </c>
      <c r="B129" s="87"/>
      <c r="C129" s="84">
        <v>1.5</v>
      </c>
      <c r="D129" s="88">
        <v>0.3</v>
      </c>
      <c r="E129" s="84">
        <v>2.6</v>
      </c>
      <c r="F129" s="84">
        <v>0.4</v>
      </c>
    </row>
    <row r="130" spans="1:6">
      <c r="A130" s="86" t="s">
        <v>987</v>
      </c>
      <c r="B130" s="87">
        <v>110</v>
      </c>
      <c r="C130" s="84">
        <v>0.06</v>
      </c>
      <c r="D130" s="88">
        <v>0.04</v>
      </c>
      <c r="E130" s="84">
        <v>0.14000000000000001</v>
      </c>
      <c r="F130" s="84">
        <v>0.01</v>
      </c>
    </row>
    <row r="131" spans="1:6">
      <c r="A131" s="89" t="s">
        <v>988</v>
      </c>
      <c r="B131" s="90">
        <v>1</v>
      </c>
      <c r="C131" s="85">
        <v>10</v>
      </c>
      <c r="D131" s="91">
        <v>4</v>
      </c>
      <c r="E131" s="85">
        <v>15</v>
      </c>
      <c r="F131" s="85">
        <v>2</v>
      </c>
    </row>
    <row r="132" spans="1:6">
      <c r="A132" s="86" t="s">
        <v>989</v>
      </c>
      <c r="B132" s="87">
        <v>1</v>
      </c>
      <c r="C132" s="84">
        <v>20</v>
      </c>
      <c r="D132" s="88">
        <v>8</v>
      </c>
      <c r="E132" s="84">
        <v>30</v>
      </c>
      <c r="F132" s="84">
        <v>4</v>
      </c>
    </row>
    <row r="133" spans="1:6">
      <c r="A133" s="86" t="s">
        <v>985</v>
      </c>
      <c r="B133" s="87">
        <v>150</v>
      </c>
      <c r="C133" s="84">
        <v>0.25</v>
      </c>
      <c r="D133" s="88">
        <v>0.1</v>
      </c>
      <c r="E133" s="84">
        <v>0.4</v>
      </c>
      <c r="F133" s="84">
        <v>0.04</v>
      </c>
    </row>
    <row r="134" spans="1:6">
      <c r="A134" s="89" t="s">
        <v>986</v>
      </c>
      <c r="B134" s="90">
        <v>110</v>
      </c>
      <c r="C134" s="85">
        <v>0.02</v>
      </c>
      <c r="D134" s="91">
        <v>0.02</v>
      </c>
      <c r="E134" s="85">
        <v>7.0000000000000007E-2</v>
      </c>
      <c r="F134" s="85"/>
    </row>
    <row r="135" spans="1:6">
      <c r="A135" s="89" t="s">
        <v>991</v>
      </c>
      <c r="B135" s="90">
        <v>250</v>
      </c>
      <c r="C135" s="85">
        <v>0.35</v>
      </c>
      <c r="D135" s="91">
        <v>0.11</v>
      </c>
      <c r="E135" s="85">
        <v>0.45</v>
      </c>
      <c r="F135" s="85">
        <v>0.05</v>
      </c>
    </row>
    <row r="136" spans="1:6">
      <c r="A136" s="89" t="s">
        <v>991</v>
      </c>
      <c r="B136" s="90">
        <v>250</v>
      </c>
      <c r="C136" s="85">
        <v>0.35</v>
      </c>
      <c r="D136" s="91">
        <v>0.11</v>
      </c>
      <c r="E136" s="85">
        <v>0.45</v>
      </c>
      <c r="F136" s="85">
        <v>0.05</v>
      </c>
    </row>
    <row r="137" spans="1:6">
      <c r="A137" s="92" t="s">
        <v>1019</v>
      </c>
      <c r="B137" s="96">
        <v>250</v>
      </c>
      <c r="C137" s="97">
        <v>0.48</v>
      </c>
      <c r="D137" s="97">
        <v>0.16</v>
      </c>
      <c r="E137" s="97">
        <v>0.65</v>
      </c>
      <c r="F137" s="97">
        <v>0.05</v>
      </c>
    </row>
    <row r="138" spans="1:6">
      <c r="A138" s="92" t="s">
        <v>1019</v>
      </c>
      <c r="B138" s="87">
        <v>400</v>
      </c>
      <c r="C138" s="84">
        <v>0.48</v>
      </c>
      <c r="D138" s="88">
        <v>0.16</v>
      </c>
      <c r="E138" s="84">
        <v>0.65</v>
      </c>
      <c r="F138" s="84">
        <v>0.05</v>
      </c>
    </row>
    <row r="139" spans="1:6">
      <c r="A139" s="86" t="s">
        <v>992</v>
      </c>
      <c r="B139" s="87">
        <v>250</v>
      </c>
      <c r="C139" s="84">
        <v>0.35</v>
      </c>
      <c r="D139" s="88">
        <v>0.11</v>
      </c>
      <c r="E139" s="84">
        <v>0.45</v>
      </c>
      <c r="F139" s="84">
        <v>0.05</v>
      </c>
    </row>
    <row r="140" spans="1:6">
      <c r="A140" s="86" t="s">
        <v>992</v>
      </c>
      <c r="B140" s="87">
        <v>250</v>
      </c>
      <c r="C140" s="84">
        <v>0.35</v>
      </c>
      <c r="D140" s="88">
        <v>0.11</v>
      </c>
      <c r="E140" s="84">
        <v>0.45</v>
      </c>
      <c r="F140" s="84">
        <v>0.05</v>
      </c>
    </row>
    <row r="141" spans="1:6">
      <c r="A141" s="86" t="s">
        <v>1002</v>
      </c>
      <c r="B141" s="87">
        <v>250</v>
      </c>
      <c r="C141" s="84">
        <v>0.35</v>
      </c>
      <c r="D141" s="88">
        <v>0.11</v>
      </c>
      <c r="E141" s="84">
        <v>0.45</v>
      </c>
      <c r="F141" s="84">
        <v>0.05</v>
      </c>
    </row>
    <row r="142" spans="1:6">
      <c r="A142" s="86" t="s">
        <v>1002</v>
      </c>
      <c r="B142" s="87">
        <v>250</v>
      </c>
      <c r="C142" s="84">
        <v>0.35</v>
      </c>
      <c r="D142" s="88">
        <v>0.11</v>
      </c>
      <c r="E142" s="84">
        <v>0.45</v>
      </c>
      <c r="F142" s="84">
        <v>0.05</v>
      </c>
    </row>
    <row r="143" spans="1:6">
      <c r="A143" s="89" t="s">
        <v>1010</v>
      </c>
      <c r="B143" s="90">
        <v>400</v>
      </c>
      <c r="C143" s="85">
        <v>0.56000000000000005</v>
      </c>
      <c r="D143" s="91">
        <v>0.23</v>
      </c>
      <c r="E143" s="85">
        <v>0.47</v>
      </c>
      <c r="F143" s="85">
        <v>0.1</v>
      </c>
    </row>
    <row r="144" spans="1:6">
      <c r="A144" s="92" t="s">
        <v>990</v>
      </c>
      <c r="B144" s="96">
        <v>250</v>
      </c>
      <c r="C144" s="97">
        <v>0.35</v>
      </c>
      <c r="D144" s="97">
        <v>0.11</v>
      </c>
      <c r="E144" s="97">
        <v>0.45</v>
      </c>
      <c r="F144" s="97">
        <v>0.05</v>
      </c>
    </row>
    <row r="145" spans="1:6">
      <c r="A145" s="86" t="s">
        <v>998</v>
      </c>
      <c r="B145" s="87">
        <v>150</v>
      </c>
      <c r="C145" s="84">
        <v>0.35</v>
      </c>
      <c r="D145" s="88">
        <v>0.11</v>
      </c>
      <c r="E145" s="84">
        <v>0.45</v>
      </c>
      <c r="F145" s="84">
        <v>0.05</v>
      </c>
    </row>
    <row r="146" spans="1:6">
      <c r="A146" s="86" t="s">
        <v>998</v>
      </c>
      <c r="B146" s="87">
        <v>250</v>
      </c>
      <c r="C146" s="84">
        <v>0.35</v>
      </c>
      <c r="D146" s="88">
        <v>0.11</v>
      </c>
      <c r="E146" s="84">
        <v>0.45</v>
      </c>
      <c r="F146" s="84">
        <v>0.05</v>
      </c>
    </row>
    <row r="147" spans="1:6">
      <c r="A147" s="86" t="s">
        <v>1000</v>
      </c>
      <c r="B147" s="87">
        <v>150</v>
      </c>
      <c r="C147" s="84">
        <v>0.35</v>
      </c>
      <c r="D147" s="88">
        <v>0.11</v>
      </c>
      <c r="E147" s="84">
        <v>0.45</v>
      </c>
      <c r="F147" s="84">
        <v>0.05</v>
      </c>
    </row>
    <row r="148" spans="1:6">
      <c r="A148" s="86" t="s">
        <v>1000</v>
      </c>
      <c r="B148" s="87">
        <v>250</v>
      </c>
      <c r="C148" s="84">
        <v>0.35</v>
      </c>
      <c r="D148" s="88">
        <v>0.11</v>
      </c>
      <c r="E148" s="84">
        <v>0.45</v>
      </c>
      <c r="F148" s="84">
        <v>0.05</v>
      </c>
    </row>
    <row r="149" spans="1:6">
      <c r="A149" s="89" t="s">
        <v>999</v>
      </c>
      <c r="B149" s="90">
        <v>150</v>
      </c>
      <c r="C149" s="85">
        <v>0.35</v>
      </c>
      <c r="D149" s="91">
        <v>0.11</v>
      </c>
      <c r="E149" s="85">
        <v>0.45</v>
      </c>
      <c r="F149" s="85">
        <v>0.05</v>
      </c>
    </row>
    <row r="150" spans="1:6">
      <c r="A150" s="89" t="s">
        <v>999</v>
      </c>
      <c r="B150" s="90">
        <v>250</v>
      </c>
      <c r="C150" s="85">
        <v>0.35</v>
      </c>
      <c r="D150" s="91">
        <v>0.11</v>
      </c>
      <c r="E150" s="85">
        <v>0.45</v>
      </c>
      <c r="F150" s="85">
        <v>0.05</v>
      </c>
    </row>
    <row r="151" spans="1:6">
      <c r="A151" s="86" t="s">
        <v>1011</v>
      </c>
      <c r="B151" s="87">
        <v>350</v>
      </c>
      <c r="C151" s="84">
        <v>0.27</v>
      </c>
      <c r="D151" s="88">
        <v>0.11</v>
      </c>
      <c r="E151" s="84">
        <v>0.32</v>
      </c>
      <c r="F151" s="84">
        <v>0.06</v>
      </c>
    </row>
    <row r="152" spans="1:6">
      <c r="A152" s="86" t="s">
        <v>1021</v>
      </c>
      <c r="B152" s="87">
        <v>150</v>
      </c>
      <c r="C152" s="84">
        <v>0.35</v>
      </c>
      <c r="D152" s="88">
        <v>0.11</v>
      </c>
      <c r="E152" s="84">
        <v>0.45</v>
      </c>
      <c r="F152" s="84">
        <v>0.05</v>
      </c>
    </row>
    <row r="153" spans="1:6">
      <c r="A153" s="86" t="s">
        <v>994</v>
      </c>
      <c r="B153" s="87">
        <v>250</v>
      </c>
      <c r="C153" s="84">
        <v>0.35</v>
      </c>
      <c r="D153" s="88">
        <v>0.11</v>
      </c>
      <c r="E153" s="84">
        <v>0.45</v>
      </c>
      <c r="F153" s="84">
        <v>0.05</v>
      </c>
    </row>
    <row r="154" spans="1:6">
      <c r="A154" s="89" t="s">
        <v>997</v>
      </c>
      <c r="B154" s="90">
        <v>150</v>
      </c>
      <c r="C154" s="85">
        <v>0.35</v>
      </c>
      <c r="D154" s="91">
        <v>0.11</v>
      </c>
      <c r="E154" s="85">
        <v>0.45</v>
      </c>
      <c r="F154" s="85">
        <v>0.05</v>
      </c>
    </row>
    <row r="155" spans="1:6">
      <c r="A155" s="89" t="s">
        <v>997</v>
      </c>
      <c r="B155" s="90">
        <v>250</v>
      </c>
      <c r="C155" s="85">
        <v>0.35</v>
      </c>
      <c r="D155" s="91">
        <v>0.11</v>
      </c>
      <c r="E155" s="85">
        <v>0.45</v>
      </c>
      <c r="F155" s="85">
        <v>0.05</v>
      </c>
    </row>
    <row r="156" spans="1:6">
      <c r="A156" s="89" t="s">
        <v>993</v>
      </c>
      <c r="B156" s="90">
        <v>250</v>
      </c>
      <c r="C156" s="85">
        <v>0.35</v>
      </c>
      <c r="D156" s="91">
        <v>0.11</v>
      </c>
      <c r="E156" s="85">
        <v>0.45</v>
      </c>
      <c r="F156" s="85">
        <v>0.05</v>
      </c>
    </row>
    <row r="157" spans="1:6">
      <c r="A157" s="89" t="s">
        <v>993</v>
      </c>
      <c r="B157" s="90">
        <v>250</v>
      </c>
      <c r="C157" s="85">
        <v>0.35</v>
      </c>
      <c r="D157" s="91">
        <v>0.11</v>
      </c>
      <c r="E157" s="85">
        <v>0.45</v>
      </c>
      <c r="F157" s="85">
        <v>0.05</v>
      </c>
    </row>
    <row r="158" spans="1:6">
      <c r="A158" s="89" t="s">
        <v>1001</v>
      </c>
      <c r="B158" s="90">
        <v>150</v>
      </c>
      <c r="C158" s="85">
        <v>0.35</v>
      </c>
      <c r="D158" s="91">
        <v>0.11</v>
      </c>
      <c r="E158" s="85">
        <v>0.45</v>
      </c>
      <c r="F158" s="85">
        <v>0.05</v>
      </c>
    </row>
    <row r="159" spans="1:6">
      <c r="A159" s="89" t="s">
        <v>1001</v>
      </c>
      <c r="B159" s="90">
        <v>250</v>
      </c>
      <c r="C159" s="85">
        <v>0.35</v>
      </c>
      <c r="D159" s="91">
        <v>0.11</v>
      </c>
      <c r="E159" s="85">
        <v>0.45</v>
      </c>
      <c r="F159" s="85">
        <v>0.05</v>
      </c>
    </row>
    <row r="160" spans="1:6">
      <c r="A160" s="89" t="s">
        <v>1012</v>
      </c>
      <c r="B160" s="90">
        <v>400</v>
      </c>
      <c r="C160" s="85">
        <v>0.35</v>
      </c>
      <c r="D160" s="91">
        <v>0.11</v>
      </c>
      <c r="E160" s="85">
        <v>0.39</v>
      </c>
      <c r="F160" s="85">
        <v>0.08</v>
      </c>
    </row>
    <row r="161" spans="1:6">
      <c r="A161" s="86" t="s">
        <v>1004</v>
      </c>
      <c r="B161" s="87">
        <v>150</v>
      </c>
      <c r="C161" s="84">
        <v>0.35</v>
      </c>
      <c r="D161" s="88">
        <v>0.11</v>
      </c>
      <c r="E161" s="84">
        <v>0.45</v>
      </c>
      <c r="F161" s="84">
        <v>0.05</v>
      </c>
    </row>
    <row r="162" spans="1:6">
      <c r="A162" s="89" t="s">
        <v>1003</v>
      </c>
      <c r="B162" s="90">
        <v>150</v>
      </c>
      <c r="C162" s="85">
        <v>0.35</v>
      </c>
      <c r="D162" s="91">
        <v>0.11</v>
      </c>
      <c r="E162" s="85">
        <v>0.45</v>
      </c>
      <c r="F162" s="85">
        <v>0.05</v>
      </c>
    </row>
    <row r="163" spans="1:6">
      <c r="A163" s="92" t="s">
        <v>1020</v>
      </c>
      <c r="B163" s="96">
        <v>250</v>
      </c>
      <c r="C163" s="97">
        <v>0.48</v>
      </c>
      <c r="D163" s="97">
        <v>0.16</v>
      </c>
      <c r="E163" s="97">
        <v>0.65</v>
      </c>
      <c r="F163" s="97">
        <v>0.05</v>
      </c>
    </row>
    <row r="164" spans="1:6">
      <c r="A164" s="92" t="s">
        <v>1020</v>
      </c>
      <c r="B164" s="90">
        <v>400</v>
      </c>
      <c r="C164" s="85">
        <v>0.48</v>
      </c>
      <c r="D164" s="91">
        <v>0.16</v>
      </c>
      <c r="E164" s="85">
        <v>0.65</v>
      </c>
      <c r="F164" s="85">
        <v>0.05</v>
      </c>
    </row>
    <row r="165" spans="1:6">
      <c r="A165" s="89" t="s">
        <v>995</v>
      </c>
      <c r="B165" s="90">
        <v>150</v>
      </c>
      <c r="C165" s="85">
        <v>0.35</v>
      </c>
      <c r="D165" s="91">
        <v>0.11</v>
      </c>
      <c r="E165" s="85">
        <v>0.45</v>
      </c>
      <c r="F165" s="85">
        <v>0.05</v>
      </c>
    </row>
    <row r="166" spans="1:6">
      <c r="A166" s="89" t="s">
        <v>995</v>
      </c>
      <c r="B166" s="90">
        <v>250</v>
      </c>
      <c r="C166" s="85">
        <v>0.35</v>
      </c>
      <c r="D166" s="91">
        <v>0.11</v>
      </c>
      <c r="E166" s="85">
        <v>0.45</v>
      </c>
      <c r="F166" s="85">
        <v>0.05</v>
      </c>
    </row>
    <row r="167" spans="1:6">
      <c r="A167" s="89" t="s">
        <v>1005</v>
      </c>
      <c r="B167" s="90">
        <v>250</v>
      </c>
      <c r="C167" s="85">
        <v>0.35</v>
      </c>
      <c r="D167" s="91">
        <v>0.11</v>
      </c>
      <c r="E167" s="85">
        <v>0.45</v>
      </c>
      <c r="F167" s="85">
        <v>0.05</v>
      </c>
    </row>
    <row r="168" spans="1:6">
      <c r="A168" s="86" t="s">
        <v>996</v>
      </c>
      <c r="B168" s="87">
        <v>150</v>
      </c>
      <c r="C168" s="84">
        <v>0.35</v>
      </c>
      <c r="D168" s="88">
        <v>0.11</v>
      </c>
      <c r="E168" s="84">
        <v>0.45</v>
      </c>
      <c r="F168" s="84">
        <v>0.05</v>
      </c>
    </row>
    <row r="169" spans="1:6">
      <c r="A169" s="86" t="s">
        <v>996</v>
      </c>
      <c r="B169" s="87">
        <v>250</v>
      </c>
      <c r="C169" s="84">
        <v>0.35</v>
      </c>
      <c r="D169" s="88">
        <v>0.11</v>
      </c>
      <c r="E169" s="84">
        <v>0.45</v>
      </c>
      <c r="F169" s="84">
        <v>0.05</v>
      </c>
    </row>
    <row r="170" spans="1:6">
      <c r="A170" s="86" t="s">
        <v>1008</v>
      </c>
      <c r="B170" s="87">
        <v>250</v>
      </c>
      <c r="C170" s="84">
        <v>0.35</v>
      </c>
      <c r="D170" s="88">
        <v>0.11</v>
      </c>
      <c r="E170" s="84">
        <v>0.45</v>
      </c>
      <c r="F170" s="84">
        <v>0.05</v>
      </c>
    </row>
    <row r="171" spans="1:6">
      <c r="A171" s="86" t="s">
        <v>1008</v>
      </c>
      <c r="B171" s="87">
        <v>250</v>
      </c>
      <c r="C171" s="84">
        <v>0.35</v>
      </c>
      <c r="D171" s="88">
        <v>0.11</v>
      </c>
      <c r="E171" s="84">
        <v>0.45</v>
      </c>
      <c r="F171" s="84">
        <v>0.05</v>
      </c>
    </row>
    <row r="172" spans="1:6">
      <c r="A172" s="86" t="s">
        <v>1006</v>
      </c>
      <c r="B172" s="87">
        <v>250</v>
      </c>
      <c r="C172" s="84">
        <v>0.35</v>
      </c>
      <c r="D172" s="88">
        <v>0.11</v>
      </c>
      <c r="E172" s="84">
        <v>0.45</v>
      </c>
      <c r="F172" s="84">
        <v>0.05</v>
      </c>
    </row>
    <row r="173" spans="1:6">
      <c r="A173" s="86" t="s">
        <v>1006</v>
      </c>
      <c r="B173" s="87">
        <v>250</v>
      </c>
      <c r="C173" s="84">
        <v>0.35</v>
      </c>
      <c r="D173" s="88">
        <v>0.11</v>
      </c>
      <c r="E173" s="84">
        <v>0.45</v>
      </c>
      <c r="F173" s="84">
        <v>0.05</v>
      </c>
    </row>
    <row r="174" spans="1:6">
      <c r="A174" s="89" t="s">
        <v>1007</v>
      </c>
      <c r="B174" s="90">
        <v>150</v>
      </c>
      <c r="C174" s="85">
        <v>0.35</v>
      </c>
      <c r="D174" s="91">
        <v>0.11</v>
      </c>
      <c r="E174" s="85">
        <v>0.45</v>
      </c>
      <c r="F174" s="85">
        <v>0.05</v>
      </c>
    </row>
    <row r="175" spans="1:6">
      <c r="A175" s="89" t="s">
        <v>1007</v>
      </c>
      <c r="B175" s="90">
        <v>250</v>
      </c>
      <c r="C175" s="85">
        <v>0.35</v>
      </c>
      <c r="D175" s="91">
        <v>0.11</v>
      </c>
      <c r="E175" s="85">
        <v>0.45</v>
      </c>
      <c r="F175" s="85">
        <v>0.05</v>
      </c>
    </row>
    <row r="176" spans="1:6">
      <c r="A176" s="89" t="s">
        <v>1009</v>
      </c>
      <c r="B176" s="90"/>
      <c r="C176" s="85"/>
      <c r="D176" s="91"/>
      <c r="E176" s="85"/>
      <c r="F176" s="85"/>
    </row>
    <row r="208" s="83" customFormat="1"/>
    <row r="209" s="83" customFormat="1"/>
    <row r="210" s="83" customFormat="1"/>
  </sheetData>
  <sheetProtection password="CC7D" sheet="1" objects="1" scenarios="1"/>
  <pageMargins left="0.78740157480314965" right="0.39370078740157483" top="0.78740157480314965" bottom="0.19685039370078741" header="0.31496062992125984" footer="0.31496062992125984"/>
  <pageSetup paperSize="9" scale="64" fitToHeight="2" orientation="portrait" r:id="rId1"/>
  <headerFooter>
    <oddHeader xml:space="preserve">&amp;L&amp;8Dienstleistungszentrum Ländlicher Raum (DLR) - Rheinpfalz, Breitenweg 71, 67435 Neustadt/Weinstraße
Alle Angaben ohne Gewähr. </oddHeader>
  </headerFooter>
  <legacy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R153"/>
  <sheetViews>
    <sheetView zoomScaleNormal="100" workbookViewId="0">
      <pane ySplit="1" topLeftCell="A2" activePane="bottomLeft" state="frozen"/>
      <selection pane="bottomLeft" activeCell="I16" sqref="I16"/>
    </sheetView>
  </sheetViews>
  <sheetFormatPr baseColWidth="10" defaultRowHeight="12.75"/>
  <cols>
    <col min="1" max="1" width="40.85546875" style="259" customWidth="1"/>
    <col min="2" max="2" width="7.85546875" style="260" customWidth="1"/>
    <col min="3" max="3" width="8.28515625" style="260" customWidth="1"/>
    <col min="4" max="4" width="9.42578125" style="260" customWidth="1"/>
    <col min="5" max="5" width="7.7109375" style="260" customWidth="1"/>
    <col min="6" max="6" width="9.85546875" style="260" customWidth="1"/>
    <col min="7" max="7" width="13.28515625" style="261" customWidth="1"/>
    <col min="8" max="8" width="9.7109375" style="261" customWidth="1"/>
    <col min="9" max="10" width="10.5703125" style="261" customWidth="1"/>
    <col min="11" max="11" width="9.7109375" style="262" customWidth="1"/>
    <col min="12" max="12" width="9.42578125" style="263" customWidth="1"/>
    <col min="13" max="13" width="9.28515625" style="262" customWidth="1"/>
    <col min="14" max="14" width="9.5703125" style="262" customWidth="1"/>
    <col min="15" max="15" width="8.140625" style="260" customWidth="1"/>
    <col min="16" max="16" width="8" style="260" customWidth="1"/>
    <col min="17" max="17" width="8.140625" style="260" customWidth="1"/>
    <col min="18" max="18" width="11.42578125" style="257"/>
    <col min="19" max="16384" width="11.42578125" style="258"/>
  </cols>
  <sheetData>
    <row r="1" spans="1:18" s="323" customFormat="1" ht="105">
      <c r="A1" s="321" t="s">
        <v>1372</v>
      </c>
      <c r="B1" s="324" t="s">
        <v>1023</v>
      </c>
      <c r="C1" s="324" t="s">
        <v>1024</v>
      </c>
      <c r="D1" s="324" t="s">
        <v>1025</v>
      </c>
      <c r="E1" s="324" t="s">
        <v>1026</v>
      </c>
      <c r="F1" s="324" t="s">
        <v>1027</v>
      </c>
      <c r="G1" s="324" t="s">
        <v>1032</v>
      </c>
      <c r="H1" s="324" t="s">
        <v>1107</v>
      </c>
      <c r="I1" s="324" t="s">
        <v>1108</v>
      </c>
      <c r="J1" s="324" t="s">
        <v>1109</v>
      </c>
      <c r="K1" s="324" t="s">
        <v>1028</v>
      </c>
      <c r="L1" s="324" t="s">
        <v>1376</v>
      </c>
      <c r="M1" s="324" t="s">
        <v>1377</v>
      </c>
      <c r="N1" s="324" t="s">
        <v>1031</v>
      </c>
      <c r="O1" s="324" t="s">
        <v>2081</v>
      </c>
      <c r="P1" s="324" t="s">
        <v>2082</v>
      </c>
      <c r="Q1" s="324" t="s">
        <v>1074</v>
      </c>
      <c r="R1" s="322"/>
    </row>
    <row r="2" spans="1:18" s="256" customFormat="1" ht="15">
      <c r="A2" s="282" t="s">
        <v>1615</v>
      </c>
      <c r="B2" s="283"/>
      <c r="C2" s="283"/>
      <c r="D2" s="283"/>
      <c r="E2" s="283"/>
      <c r="F2" s="283"/>
      <c r="G2" s="283"/>
      <c r="H2" s="283"/>
      <c r="I2" s="283"/>
      <c r="J2" s="283"/>
      <c r="K2" s="284"/>
      <c r="L2" s="284"/>
      <c r="M2" s="284"/>
      <c r="N2" s="284"/>
      <c r="O2" s="284"/>
      <c r="P2" s="284"/>
      <c r="Q2" s="284"/>
      <c r="R2" s="257"/>
    </row>
    <row r="3" spans="1:18" ht="15">
      <c r="A3" s="282" t="s">
        <v>1616</v>
      </c>
      <c r="B3" s="285"/>
      <c r="C3" s="285"/>
      <c r="D3" s="285"/>
      <c r="E3" s="285"/>
      <c r="F3" s="285"/>
      <c r="G3" s="285"/>
      <c r="H3" s="285"/>
      <c r="I3" s="285"/>
      <c r="J3" s="285"/>
      <c r="K3" s="286"/>
      <c r="L3" s="286"/>
      <c r="M3" s="286"/>
      <c r="N3" s="286"/>
      <c r="O3" s="286"/>
      <c r="P3" s="286"/>
      <c r="Q3" s="286"/>
    </row>
    <row r="4" spans="1:18" ht="15">
      <c r="A4" s="282" t="s">
        <v>1617</v>
      </c>
      <c r="B4" s="285"/>
      <c r="C4" s="285"/>
      <c r="D4" s="285"/>
      <c r="E4" s="285"/>
      <c r="F4" s="285"/>
      <c r="G4" s="285"/>
      <c r="H4" s="285"/>
      <c r="I4" s="285"/>
      <c r="J4" s="285"/>
      <c r="K4" s="286"/>
      <c r="L4" s="286"/>
      <c r="M4" s="286"/>
      <c r="N4" s="286"/>
      <c r="O4" s="286"/>
      <c r="P4" s="286"/>
      <c r="Q4" s="286"/>
    </row>
    <row r="5" spans="1:18" ht="15">
      <c r="A5" s="282" t="s">
        <v>1618</v>
      </c>
      <c r="B5" s="285"/>
      <c r="C5" s="285"/>
      <c r="D5" s="285"/>
      <c r="E5" s="285"/>
      <c r="F5" s="285"/>
      <c r="G5" s="285"/>
      <c r="H5" s="285"/>
      <c r="I5" s="285"/>
      <c r="J5" s="285"/>
      <c r="K5" s="286"/>
      <c r="L5" s="286"/>
      <c r="M5" s="286"/>
      <c r="N5" s="286"/>
      <c r="O5" s="286"/>
      <c r="P5" s="286"/>
      <c r="Q5" s="286"/>
    </row>
    <row r="6" spans="1:18" ht="15">
      <c r="A6" s="282" t="s">
        <v>1619</v>
      </c>
      <c r="B6" s="285"/>
      <c r="C6" s="285"/>
      <c r="D6" s="285"/>
      <c r="E6" s="285"/>
      <c r="F6" s="285"/>
      <c r="G6" s="285"/>
      <c r="H6" s="285"/>
      <c r="I6" s="285"/>
      <c r="J6" s="285"/>
      <c r="K6" s="286"/>
      <c r="L6" s="286"/>
      <c r="M6" s="286"/>
      <c r="N6" s="286"/>
      <c r="O6" s="286"/>
      <c r="P6" s="286"/>
      <c r="Q6" s="286"/>
    </row>
    <row r="7" spans="1:18" ht="15">
      <c r="A7" s="282" t="s">
        <v>1620</v>
      </c>
      <c r="B7" s="285"/>
      <c r="C7" s="285"/>
      <c r="D7" s="285"/>
      <c r="E7" s="285"/>
      <c r="F7" s="285"/>
      <c r="G7" s="285"/>
      <c r="H7" s="285"/>
      <c r="I7" s="285"/>
      <c r="J7" s="285"/>
      <c r="K7" s="286"/>
      <c r="L7" s="286"/>
      <c r="M7" s="286"/>
      <c r="N7" s="286"/>
      <c r="O7" s="286"/>
      <c r="P7" s="286"/>
      <c r="Q7" s="286"/>
    </row>
    <row r="8" spans="1:18" ht="15">
      <c r="A8" s="282" t="s">
        <v>1621</v>
      </c>
      <c r="B8" s="285"/>
      <c r="C8" s="285"/>
      <c r="D8" s="285"/>
      <c r="E8" s="285"/>
      <c r="F8" s="285"/>
      <c r="G8" s="285"/>
      <c r="H8" s="285"/>
      <c r="I8" s="285"/>
      <c r="J8" s="285"/>
      <c r="K8" s="286"/>
      <c r="L8" s="286"/>
      <c r="M8" s="286"/>
      <c r="N8" s="286"/>
      <c r="O8" s="286"/>
      <c r="P8" s="286"/>
      <c r="Q8" s="286"/>
    </row>
    <row r="9" spans="1:18" ht="15">
      <c r="A9" s="282" t="s">
        <v>1622</v>
      </c>
      <c r="B9" s="285"/>
      <c r="C9" s="285"/>
      <c r="D9" s="285"/>
      <c r="E9" s="285"/>
      <c r="F9" s="285"/>
      <c r="G9" s="285"/>
      <c r="H9" s="285"/>
      <c r="I9" s="285"/>
      <c r="J9" s="285"/>
      <c r="K9" s="286"/>
      <c r="L9" s="286"/>
      <c r="M9" s="286"/>
      <c r="N9" s="286"/>
      <c r="O9" s="286"/>
      <c r="P9" s="286"/>
      <c r="Q9" s="286"/>
    </row>
    <row r="10" spans="1:18" ht="15">
      <c r="A10" s="282" t="s">
        <v>1623</v>
      </c>
      <c r="B10" s="285"/>
      <c r="C10" s="285"/>
      <c r="D10" s="285"/>
      <c r="E10" s="285"/>
      <c r="F10" s="285"/>
      <c r="G10" s="285"/>
      <c r="H10" s="285"/>
      <c r="I10" s="285"/>
      <c r="J10" s="285"/>
      <c r="K10" s="286"/>
      <c r="L10" s="286"/>
      <c r="M10" s="286"/>
      <c r="N10" s="286"/>
      <c r="O10" s="286"/>
      <c r="P10" s="286"/>
      <c r="Q10" s="286"/>
    </row>
    <row r="11" spans="1:18" ht="15">
      <c r="A11" s="282" t="s">
        <v>1624</v>
      </c>
      <c r="B11" s="287"/>
      <c r="C11" s="287"/>
      <c r="D11" s="287"/>
      <c r="E11" s="287"/>
      <c r="F11" s="287"/>
      <c r="G11" s="287"/>
      <c r="H11" s="287"/>
      <c r="I11" s="287"/>
      <c r="J11" s="287"/>
      <c r="K11" s="288"/>
      <c r="L11" s="288"/>
      <c r="M11" s="288"/>
      <c r="N11" s="288"/>
      <c r="O11" s="288"/>
      <c r="P11" s="288"/>
      <c r="Q11" s="288"/>
    </row>
    <row r="12" spans="1:18" ht="15">
      <c r="A12" s="289" t="s">
        <v>1482</v>
      </c>
      <c r="B12" s="289">
        <v>720</v>
      </c>
      <c r="C12" s="289">
        <v>290</v>
      </c>
      <c r="D12" s="289">
        <v>0</v>
      </c>
      <c r="E12" s="289">
        <v>60</v>
      </c>
      <c r="F12" s="289">
        <v>0</v>
      </c>
      <c r="G12" s="289">
        <v>0</v>
      </c>
      <c r="H12" s="291">
        <v>10</v>
      </c>
      <c r="I12" s="291">
        <v>29</v>
      </c>
      <c r="J12" s="291">
        <v>29</v>
      </c>
      <c r="K12" s="290">
        <v>0.33</v>
      </c>
      <c r="L12" s="290">
        <v>0.11</v>
      </c>
      <c r="M12" s="290">
        <v>0.53</v>
      </c>
      <c r="N12" s="290">
        <v>0.02</v>
      </c>
      <c r="O12" s="251"/>
      <c r="P12" s="251"/>
      <c r="Q12" s="251"/>
    </row>
    <row r="13" spans="1:18" ht="15">
      <c r="A13" s="252" t="s">
        <v>1378</v>
      </c>
      <c r="B13" s="301">
        <v>160</v>
      </c>
      <c r="C13" s="301">
        <v>130</v>
      </c>
      <c r="D13" s="250">
        <v>0</v>
      </c>
      <c r="E13" s="251">
        <v>60</v>
      </c>
      <c r="F13" s="301">
        <v>20</v>
      </c>
      <c r="G13" s="301">
        <f>F13*2/3</f>
        <v>13.333333333333334</v>
      </c>
      <c r="H13" s="301">
        <v>20</v>
      </c>
      <c r="I13" s="301">
        <v>20</v>
      </c>
      <c r="J13" s="301">
        <v>20</v>
      </c>
      <c r="K13" s="302">
        <v>0.19</v>
      </c>
      <c r="L13" s="302">
        <v>0.25</v>
      </c>
      <c r="M13" s="302">
        <v>0.88</v>
      </c>
      <c r="N13" s="302">
        <v>0.13</v>
      </c>
      <c r="O13" s="251"/>
      <c r="P13" s="251"/>
      <c r="Q13" s="251"/>
    </row>
    <row r="14" spans="1:18" ht="15">
      <c r="A14" s="252" t="s">
        <v>2085</v>
      </c>
      <c r="B14" s="243">
        <v>400</v>
      </c>
      <c r="C14" s="291">
        <v>190</v>
      </c>
      <c r="D14" s="291">
        <v>0</v>
      </c>
      <c r="E14" s="251">
        <v>60</v>
      </c>
      <c r="F14" s="291">
        <v>70</v>
      </c>
      <c r="G14" s="301">
        <f>F14*2/3</f>
        <v>46.666666666666664</v>
      </c>
      <c r="H14" s="291">
        <v>20</v>
      </c>
      <c r="I14" s="243">
        <v>20</v>
      </c>
      <c r="J14" s="243">
        <v>20</v>
      </c>
      <c r="K14" s="303">
        <v>0.19</v>
      </c>
      <c r="L14" s="303">
        <v>0.25</v>
      </c>
      <c r="M14" s="303">
        <v>0.88</v>
      </c>
      <c r="N14" s="303">
        <v>0.13</v>
      </c>
      <c r="O14" s="251"/>
      <c r="P14" s="251"/>
      <c r="Q14" s="251"/>
    </row>
    <row r="15" spans="1:18" ht="15">
      <c r="A15" s="289" t="s">
        <v>1489</v>
      </c>
      <c r="B15" s="289">
        <v>20</v>
      </c>
      <c r="C15" s="289">
        <v>10</v>
      </c>
      <c r="D15" s="289">
        <v>0</v>
      </c>
      <c r="E15" s="289">
        <v>30</v>
      </c>
      <c r="F15" s="289">
        <v>0</v>
      </c>
      <c r="G15" s="289">
        <v>0</v>
      </c>
      <c r="H15" s="291">
        <v>10</v>
      </c>
      <c r="I15" s="291">
        <v>1</v>
      </c>
      <c r="J15" s="291">
        <v>1</v>
      </c>
      <c r="K15" s="290">
        <v>0.5</v>
      </c>
      <c r="L15" s="290">
        <v>0.75</v>
      </c>
      <c r="M15" s="290">
        <v>0.4</v>
      </c>
      <c r="N15" s="290">
        <v>0.2</v>
      </c>
      <c r="O15" s="251"/>
      <c r="P15" s="251"/>
      <c r="Q15" s="251"/>
    </row>
    <row r="16" spans="1:18" ht="15">
      <c r="A16" s="289" t="s">
        <v>1490</v>
      </c>
      <c r="B16" s="289">
        <v>150</v>
      </c>
      <c r="C16" s="289">
        <v>120</v>
      </c>
      <c r="D16" s="289">
        <v>0</v>
      </c>
      <c r="E16" s="289">
        <v>30</v>
      </c>
      <c r="F16" s="289">
        <v>0</v>
      </c>
      <c r="G16" s="289">
        <v>0</v>
      </c>
      <c r="H16" s="291">
        <v>10</v>
      </c>
      <c r="I16" s="291">
        <v>12</v>
      </c>
      <c r="J16" s="291">
        <v>12</v>
      </c>
      <c r="K16" s="290">
        <v>0.43</v>
      </c>
      <c r="L16" s="290">
        <v>0.08</v>
      </c>
      <c r="M16" s="290">
        <v>0.67</v>
      </c>
      <c r="N16" s="290">
        <v>7.0000000000000007E-2</v>
      </c>
      <c r="O16" s="251"/>
      <c r="P16" s="251"/>
      <c r="Q16" s="251"/>
    </row>
    <row r="17" spans="1:17" ht="15">
      <c r="A17" s="253" t="s">
        <v>1379</v>
      </c>
      <c r="B17" s="251">
        <v>350</v>
      </c>
      <c r="C17" s="251">
        <v>300</v>
      </c>
      <c r="D17" s="251">
        <v>0</v>
      </c>
      <c r="E17" s="251">
        <v>60</v>
      </c>
      <c r="F17" s="251">
        <v>80</v>
      </c>
      <c r="G17" s="251">
        <f>F17*2/3</f>
        <v>53.333333333333336</v>
      </c>
      <c r="H17" s="251">
        <v>20</v>
      </c>
      <c r="I17" s="251">
        <v>20</v>
      </c>
      <c r="J17" s="251">
        <v>20</v>
      </c>
      <c r="K17" s="254">
        <v>0.28000000000000003</v>
      </c>
      <c r="L17" s="254">
        <v>0.10299999999999999</v>
      </c>
      <c r="M17" s="254">
        <v>0.36119999999999997</v>
      </c>
      <c r="N17" s="254">
        <v>1.6580000000000001E-2</v>
      </c>
      <c r="O17" s="251"/>
      <c r="P17" s="251"/>
      <c r="Q17" s="251"/>
    </row>
    <row r="18" spans="1:17" ht="15">
      <c r="A18" s="289" t="s">
        <v>1500</v>
      </c>
      <c r="B18" s="289">
        <v>450</v>
      </c>
      <c r="C18" s="289">
        <v>185</v>
      </c>
      <c r="D18" s="289">
        <v>0</v>
      </c>
      <c r="E18" s="289">
        <v>30</v>
      </c>
      <c r="F18" s="289">
        <v>0</v>
      </c>
      <c r="G18" s="289">
        <v>0</v>
      </c>
      <c r="H18" s="291">
        <v>10</v>
      </c>
      <c r="I18" s="291">
        <v>18.5</v>
      </c>
      <c r="J18" s="291">
        <v>18.5</v>
      </c>
      <c r="K18" s="290">
        <v>0.32</v>
      </c>
      <c r="L18" s="290">
        <v>0.12</v>
      </c>
      <c r="M18" s="290">
        <v>0.49</v>
      </c>
      <c r="N18" s="290">
        <v>7.0000000000000007E-2</v>
      </c>
      <c r="O18" s="251"/>
      <c r="P18" s="251"/>
      <c r="Q18" s="251"/>
    </row>
    <row r="19" spans="1:17" ht="15">
      <c r="A19" s="289" t="s">
        <v>1501</v>
      </c>
      <c r="B19" s="289">
        <v>300</v>
      </c>
      <c r="C19" s="289">
        <v>110</v>
      </c>
      <c r="D19" s="289">
        <v>0</v>
      </c>
      <c r="E19" s="289">
        <v>60</v>
      </c>
      <c r="F19" s="289">
        <v>0</v>
      </c>
      <c r="G19" s="289">
        <v>0</v>
      </c>
      <c r="H19" s="291">
        <v>10</v>
      </c>
      <c r="I19" s="291">
        <v>6</v>
      </c>
      <c r="J19" s="291">
        <v>6</v>
      </c>
      <c r="K19" s="290">
        <v>0.2</v>
      </c>
      <c r="L19" s="290">
        <v>0.05</v>
      </c>
      <c r="M19" s="290">
        <v>0.44</v>
      </c>
      <c r="N19" s="290">
        <v>0.02</v>
      </c>
      <c r="O19" s="251"/>
      <c r="P19" s="251"/>
      <c r="Q19" s="251"/>
    </row>
    <row r="20" spans="1:17" ht="15">
      <c r="A20" s="289" t="s">
        <v>1506</v>
      </c>
      <c r="B20" s="289">
        <v>120</v>
      </c>
      <c r="C20" s="289">
        <v>125</v>
      </c>
      <c r="D20" s="289">
        <v>0</v>
      </c>
      <c r="E20" s="289">
        <v>30</v>
      </c>
      <c r="F20" s="289">
        <v>0</v>
      </c>
      <c r="G20" s="289">
        <v>0</v>
      </c>
      <c r="H20" s="291">
        <v>10</v>
      </c>
      <c r="I20" s="291">
        <v>12.5</v>
      </c>
      <c r="J20" s="291">
        <v>12.5</v>
      </c>
      <c r="K20" s="290">
        <v>0.7</v>
      </c>
      <c r="L20" s="290">
        <v>0.15</v>
      </c>
      <c r="M20" s="290">
        <v>0.79</v>
      </c>
      <c r="N20" s="290">
        <v>0.09</v>
      </c>
      <c r="O20" s="251"/>
      <c r="P20" s="251"/>
      <c r="Q20" s="251"/>
    </row>
    <row r="21" spans="1:17" ht="15">
      <c r="A21" s="253" t="s">
        <v>1380</v>
      </c>
      <c r="B21" s="251">
        <v>150</v>
      </c>
      <c r="C21" s="251">
        <v>310</v>
      </c>
      <c r="D21" s="251">
        <v>0</v>
      </c>
      <c r="E21" s="251">
        <v>60</v>
      </c>
      <c r="F21" s="251">
        <v>100</v>
      </c>
      <c r="G21" s="251">
        <f>F21*2/3</f>
        <v>66.666666666666671</v>
      </c>
      <c r="H21" s="251">
        <v>20</v>
      </c>
      <c r="I21" s="251">
        <v>20</v>
      </c>
      <c r="J21" s="251">
        <v>20</v>
      </c>
      <c r="K21" s="254">
        <v>0.45</v>
      </c>
      <c r="L21" s="254">
        <v>0.14899999999999999</v>
      </c>
      <c r="M21" s="254">
        <v>0.45751999999999998</v>
      </c>
      <c r="N21" s="254">
        <v>3.3160000000000002E-2</v>
      </c>
      <c r="O21" s="251"/>
      <c r="P21" s="251"/>
      <c r="Q21" s="251"/>
    </row>
    <row r="22" spans="1:17" ht="15">
      <c r="A22" s="249" t="s">
        <v>1381</v>
      </c>
      <c r="B22" s="250">
        <v>150</v>
      </c>
      <c r="C22" s="250">
        <v>65</v>
      </c>
      <c r="D22" s="250">
        <v>0</v>
      </c>
      <c r="E22" s="250">
        <v>30</v>
      </c>
      <c r="F22" s="250">
        <v>0</v>
      </c>
      <c r="G22" s="250">
        <v>0</v>
      </c>
      <c r="H22" s="250">
        <v>10</v>
      </c>
      <c r="I22" s="250">
        <v>7</v>
      </c>
      <c r="J22" s="250">
        <v>7</v>
      </c>
      <c r="K22" s="302">
        <v>0.3</v>
      </c>
      <c r="L22" s="302">
        <v>9.1999999999999998E-2</v>
      </c>
      <c r="M22" s="302">
        <v>0.71</v>
      </c>
      <c r="N22" s="302">
        <v>0.04</v>
      </c>
      <c r="O22" s="251"/>
      <c r="P22" s="251"/>
      <c r="Q22" s="251"/>
    </row>
    <row r="23" spans="1:17" ht="15">
      <c r="A23" s="253" t="s">
        <v>1382</v>
      </c>
      <c r="B23" s="251">
        <v>120</v>
      </c>
      <c r="C23" s="251">
        <v>110</v>
      </c>
      <c r="D23" s="251">
        <v>0</v>
      </c>
      <c r="E23" s="251">
        <v>60</v>
      </c>
      <c r="F23" s="251">
        <v>45</v>
      </c>
      <c r="G23" s="251">
        <f t="shared" ref="G23:G28" si="0">F23*2/3</f>
        <v>30</v>
      </c>
      <c r="H23" s="251">
        <v>20</v>
      </c>
      <c r="I23" s="251">
        <v>20</v>
      </c>
      <c r="J23" s="251">
        <v>20</v>
      </c>
      <c r="K23" s="254">
        <v>0.25</v>
      </c>
      <c r="L23" s="254">
        <v>9.1999999999999998E-2</v>
      </c>
      <c r="M23" s="254">
        <v>0.30099999999999999</v>
      </c>
      <c r="N23" s="254">
        <v>4.1000000000000002E-2</v>
      </c>
      <c r="O23" s="251"/>
      <c r="P23" s="251"/>
      <c r="Q23" s="251"/>
    </row>
    <row r="24" spans="1:17" ht="15">
      <c r="A24" s="253" t="s">
        <v>1383</v>
      </c>
      <c r="B24" s="251">
        <v>450</v>
      </c>
      <c r="C24" s="251">
        <v>135</v>
      </c>
      <c r="D24" s="251">
        <v>4</v>
      </c>
      <c r="E24" s="251">
        <v>90</v>
      </c>
      <c r="F24" s="251">
        <v>40</v>
      </c>
      <c r="G24" s="251">
        <f t="shared" si="0"/>
        <v>26.666666666666668</v>
      </c>
      <c r="H24" s="251">
        <v>20</v>
      </c>
      <c r="I24" s="251">
        <v>20</v>
      </c>
      <c r="J24" s="251">
        <v>20</v>
      </c>
      <c r="K24" s="254">
        <v>0.25</v>
      </c>
      <c r="L24" s="254">
        <v>0.121</v>
      </c>
      <c r="M24" s="254">
        <v>0.54179999999999995</v>
      </c>
      <c r="N24" s="254">
        <v>6.6320000000000004E-2</v>
      </c>
      <c r="O24" s="251"/>
      <c r="P24" s="251"/>
      <c r="Q24" s="251"/>
    </row>
    <row r="25" spans="1:17" ht="15">
      <c r="A25" s="253" t="s">
        <v>1384</v>
      </c>
      <c r="B25" s="251">
        <v>700</v>
      </c>
      <c r="C25" s="251">
        <v>210</v>
      </c>
      <c r="D25" s="251">
        <v>0</v>
      </c>
      <c r="E25" s="251">
        <v>60</v>
      </c>
      <c r="F25" s="251">
        <v>45</v>
      </c>
      <c r="G25" s="251">
        <f t="shared" si="0"/>
        <v>30</v>
      </c>
      <c r="H25" s="251">
        <v>20</v>
      </c>
      <c r="I25" s="251">
        <v>20</v>
      </c>
      <c r="J25" s="251">
        <v>20</v>
      </c>
      <c r="K25" s="254">
        <v>0.15</v>
      </c>
      <c r="L25" s="254">
        <v>9.1999999999999998E-2</v>
      </c>
      <c r="M25" s="254">
        <v>0.3</v>
      </c>
      <c r="N25" s="254">
        <v>1.6580000000000001E-2</v>
      </c>
      <c r="O25" s="251"/>
      <c r="P25" s="251"/>
      <c r="Q25" s="251"/>
    </row>
    <row r="26" spans="1:17" ht="15">
      <c r="A26" s="252" t="s">
        <v>1385</v>
      </c>
      <c r="B26" s="301">
        <v>65</v>
      </c>
      <c r="C26" s="301">
        <v>60</v>
      </c>
      <c r="D26" s="250">
        <v>0</v>
      </c>
      <c r="E26" s="251">
        <v>60</v>
      </c>
      <c r="F26" s="301">
        <v>45</v>
      </c>
      <c r="G26" s="251">
        <f t="shared" si="0"/>
        <v>30</v>
      </c>
      <c r="H26" s="301">
        <v>20</v>
      </c>
      <c r="I26" s="301">
        <v>20</v>
      </c>
      <c r="J26" s="301">
        <v>20</v>
      </c>
      <c r="K26" s="302">
        <v>1.25</v>
      </c>
      <c r="L26" s="302">
        <v>0.29799999999999999</v>
      </c>
      <c r="M26" s="302">
        <v>0.42</v>
      </c>
      <c r="N26" s="302">
        <v>5.5E-2</v>
      </c>
      <c r="O26" s="251"/>
      <c r="P26" s="251"/>
      <c r="Q26" s="251"/>
    </row>
    <row r="27" spans="1:17" ht="15">
      <c r="A27" s="253" t="s">
        <v>1386</v>
      </c>
      <c r="B27" s="251">
        <v>200</v>
      </c>
      <c r="C27" s="251">
        <v>85</v>
      </c>
      <c r="D27" s="251">
        <v>0</v>
      </c>
      <c r="E27" s="251">
        <v>30</v>
      </c>
      <c r="F27" s="251">
        <v>5</v>
      </c>
      <c r="G27" s="251">
        <f t="shared" si="0"/>
        <v>3.3333333333333335</v>
      </c>
      <c r="H27" s="251">
        <v>20</v>
      </c>
      <c r="I27" s="251">
        <v>20</v>
      </c>
      <c r="J27" s="251">
        <v>20</v>
      </c>
      <c r="K27" s="254">
        <v>0.3</v>
      </c>
      <c r="L27" s="254">
        <v>9.1999999999999998E-2</v>
      </c>
      <c r="M27" s="254">
        <v>0.60199999999999998</v>
      </c>
      <c r="N27" s="254">
        <v>4.1000000000000002E-2</v>
      </c>
      <c r="O27" s="251"/>
      <c r="P27" s="251"/>
      <c r="Q27" s="251"/>
    </row>
    <row r="28" spans="1:17" ht="15">
      <c r="A28" s="253" t="s">
        <v>1387</v>
      </c>
      <c r="B28" s="251">
        <v>250</v>
      </c>
      <c r="C28" s="251">
        <v>105</v>
      </c>
      <c r="D28" s="251">
        <v>0</v>
      </c>
      <c r="E28" s="251">
        <v>30</v>
      </c>
      <c r="F28" s="251">
        <v>25</v>
      </c>
      <c r="G28" s="251">
        <f t="shared" si="0"/>
        <v>16.666666666666668</v>
      </c>
      <c r="H28" s="251">
        <v>20</v>
      </c>
      <c r="I28" s="251">
        <v>20</v>
      </c>
      <c r="J28" s="251">
        <v>20</v>
      </c>
      <c r="K28" s="254">
        <v>0.3</v>
      </c>
      <c r="L28" s="254">
        <v>9.1999999999999998E-2</v>
      </c>
      <c r="M28" s="254">
        <v>0.60199999999999998</v>
      </c>
      <c r="N28" s="254">
        <v>4.1000000000000002E-2</v>
      </c>
      <c r="O28" s="251"/>
      <c r="P28" s="251"/>
      <c r="Q28" s="251"/>
    </row>
    <row r="29" spans="1:17" ht="15">
      <c r="A29" s="289" t="s">
        <v>1640</v>
      </c>
      <c r="B29" s="294">
        <v>50</v>
      </c>
      <c r="C29" s="294">
        <v>85</v>
      </c>
      <c r="D29" s="289">
        <v>0</v>
      </c>
      <c r="E29" s="294">
        <v>30</v>
      </c>
      <c r="F29" s="294">
        <v>0</v>
      </c>
      <c r="G29" s="294">
        <v>0</v>
      </c>
      <c r="H29" s="291">
        <v>10</v>
      </c>
      <c r="I29" s="291">
        <v>4</v>
      </c>
      <c r="J29" s="291">
        <v>4</v>
      </c>
      <c r="K29" s="290">
        <v>0.79</v>
      </c>
      <c r="L29" s="290">
        <v>0.17</v>
      </c>
      <c r="M29" s="290">
        <v>0.83</v>
      </c>
      <c r="N29" s="290">
        <v>0.12</v>
      </c>
      <c r="O29" s="251"/>
      <c r="P29" s="251"/>
      <c r="Q29" s="251"/>
    </row>
    <row r="30" spans="1:17" ht="15">
      <c r="A30" s="343" t="s">
        <v>2086</v>
      </c>
      <c r="B30" s="344">
        <v>180</v>
      </c>
      <c r="C30" s="291">
        <v>100</v>
      </c>
      <c r="D30" s="291">
        <v>0</v>
      </c>
      <c r="E30" s="344">
        <v>60</v>
      </c>
      <c r="F30" s="291">
        <v>53</v>
      </c>
      <c r="G30" s="251">
        <f>F30*2/3</f>
        <v>35.333333333333336</v>
      </c>
      <c r="H30" s="291">
        <v>20</v>
      </c>
      <c r="I30" s="344">
        <v>20</v>
      </c>
      <c r="J30" s="344">
        <v>20</v>
      </c>
      <c r="K30" s="345">
        <v>1</v>
      </c>
      <c r="L30" s="345">
        <v>0.27</v>
      </c>
      <c r="M30" s="345">
        <v>0.5</v>
      </c>
      <c r="N30" s="345">
        <v>0.11</v>
      </c>
      <c r="O30" s="255"/>
      <c r="P30" s="255"/>
      <c r="Q30" s="255"/>
    </row>
    <row r="31" spans="1:17" ht="13.5" customHeight="1">
      <c r="A31" s="253" t="s">
        <v>2087</v>
      </c>
      <c r="B31" s="251">
        <v>80</v>
      </c>
      <c r="C31" s="251">
        <v>85</v>
      </c>
      <c r="D31" s="251">
        <v>0</v>
      </c>
      <c r="E31" s="251">
        <v>60</v>
      </c>
      <c r="F31" s="251">
        <v>65</v>
      </c>
      <c r="G31" s="251">
        <f>F31*2/3</f>
        <v>43.333333333333336</v>
      </c>
      <c r="H31" s="251">
        <v>20</v>
      </c>
      <c r="I31" s="251">
        <v>20</v>
      </c>
      <c r="J31" s="251">
        <v>20</v>
      </c>
      <c r="K31" s="254">
        <v>1</v>
      </c>
      <c r="L31" s="254">
        <v>0.22900000000000001</v>
      </c>
      <c r="M31" s="254">
        <v>0.36119999999999997</v>
      </c>
      <c r="N31" s="254">
        <v>5.8000000000000003E-2</v>
      </c>
      <c r="O31" s="251"/>
      <c r="P31" s="251"/>
      <c r="Q31" s="251"/>
    </row>
    <row r="32" spans="1:17" ht="15">
      <c r="A32" s="253" t="s">
        <v>1388</v>
      </c>
      <c r="B32" s="251">
        <v>140</v>
      </c>
      <c r="C32" s="251">
        <v>60</v>
      </c>
      <c r="D32" s="251">
        <v>0</v>
      </c>
      <c r="E32" s="251">
        <v>30</v>
      </c>
      <c r="F32" s="251">
        <v>0</v>
      </c>
      <c r="G32" s="251">
        <f>F32*2/3</f>
        <v>0</v>
      </c>
      <c r="H32" s="251">
        <v>20</v>
      </c>
      <c r="I32" s="251">
        <v>20</v>
      </c>
      <c r="J32" s="251">
        <v>20</v>
      </c>
      <c r="K32" s="254">
        <v>0.17</v>
      </c>
      <c r="L32" s="254">
        <v>0.05</v>
      </c>
      <c r="M32" s="254">
        <v>0.28000000000000003</v>
      </c>
      <c r="N32" s="254">
        <v>0.03</v>
      </c>
      <c r="O32" s="251"/>
      <c r="P32" s="251"/>
      <c r="Q32" s="251"/>
    </row>
    <row r="33" spans="1:17" ht="15">
      <c r="A33" s="253" t="s">
        <v>1389</v>
      </c>
      <c r="B33" s="251">
        <v>140</v>
      </c>
      <c r="C33" s="251">
        <v>60</v>
      </c>
      <c r="D33" s="251">
        <v>0</v>
      </c>
      <c r="E33" s="251">
        <v>30</v>
      </c>
      <c r="F33" s="251">
        <v>0</v>
      </c>
      <c r="G33" s="251">
        <f>F33*2/3</f>
        <v>0</v>
      </c>
      <c r="H33" s="251">
        <v>20</v>
      </c>
      <c r="I33" s="251">
        <v>20</v>
      </c>
      <c r="J33" s="251">
        <v>20</v>
      </c>
      <c r="K33" s="254">
        <v>0.17</v>
      </c>
      <c r="L33" s="254"/>
      <c r="M33" s="254"/>
      <c r="N33" s="254"/>
      <c r="O33" s="251"/>
      <c r="P33" s="251"/>
      <c r="Q33" s="251"/>
    </row>
    <row r="34" spans="1:17" ht="15">
      <c r="A34" s="253" t="s">
        <v>1390</v>
      </c>
      <c r="B34" s="251">
        <v>0</v>
      </c>
      <c r="C34" s="251">
        <v>60</v>
      </c>
      <c r="D34" s="251">
        <v>0</v>
      </c>
      <c r="E34" s="251">
        <v>30</v>
      </c>
      <c r="F34" s="251">
        <v>0</v>
      </c>
      <c r="G34" s="251">
        <f>F34*2/3</f>
        <v>0</v>
      </c>
      <c r="H34" s="251">
        <v>20</v>
      </c>
      <c r="I34" s="251">
        <v>20</v>
      </c>
      <c r="J34" s="251">
        <v>20</v>
      </c>
      <c r="K34" s="254">
        <v>0.17</v>
      </c>
      <c r="L34" s="254">
        <v>0.05</v>
      </c>
      <c r="M34" s="254">
        <v>0.28000000000000003</v>
      </c>
      <c r="N34" s="254">
        <v>0.03</v>
      </c>
      <c r="O34" s="251"/>
      <c r="P34" s="251"/>
      <c r="Q34" s="251"/>
    </row>
    <row r="35" spans="1:17" ht="15">
      <c r="A35" s="289" t="s">
        <v>1514</v>
      </c>
      <c r="B35" s="289">
        <v>150</v>
      </c>
      <c r="C35" s="289">
        <v>125</v>
      </c>
      <c r="D35" s="289">
        <v>0</v>
      </c>
      <c r="E35" s="289">
        <v>30</v>
      </c>
      <c r="F35" s="289">
        <v>0</v>
      </c>
      <c r="G35" s="289">
        <v>0</v>
      </c>
      <c r="H35" s="291">
        <v>10</v>
      </c>
      <c r="I35" s="291">
        <v>12.5</v>
      </c>
      <c r="J35" s="291">
        <v>12.5</v>
      </c>
      <c r="K35" s="290">
        <v>0.55000000000000004</v>
      </c>
      <c r="L35" s="290">
        <v>0.16</v>
      </c>
      <c r="M35" s="290">
        <v>0.88</v>
      </c>
      <c r="N35" s="290">
        <v>0.04</v>
      </c>
      <c r="O35" s="251"/>
      <c r="P35" s="251"/>
      <c r="Q35" s="251"/>
    </row>
    <row r="36" spans="1:17" ht="15">
      <c r="A36" s="253" t="s">
        <v>1391</v>
      </c>
      <c r="B36" s="251">
        <v>80</v>
      </c>
      <c r="C36" s="251">
        <v>85</v>
      </c>
      <c r="D36" s="251">
        <v>0</v>
      </c>
      <c r="E36" s="251">
        <v>15</v>
      </c>
      <c r="F36" s="251">
        <v>5</v>
      </c>
      <c r="G36" s="251">
        <f>F36*2/3</f>
        <v>3.3333333333333335</v>
      </c>
      <c r="H36" s="251">
        <v>20</v>
      </c>
      <c r="I36" s="251">
        <v>20</v>
      </c>
      <c r="J36" s="251">
        <v>20</v>
      </c>
      <c r="K36" s="254">
        <v>0.45</v>
      </c>
      <c r="L36" s="254">
        <v>9.9000000000000005E-2</v>
      </c>
      <c r="M36" s="254">
        <v>0.65016000000000007</v>
      </c>
      <c r="N36" s="254">
        <v>7.0999999999999994E-2</v>
      </c>
      <c r="O36" s="251"/>
      <c r="P36" s="251"/>
      <c r="Q36" s="251"/>
    </row>
    <row r="37" spans="1:17" ht="15">
      <c r="A37" s="253" t="s">
        <v>1392</v>
      </c>
      <c r="B37" s="251">
        <v>130</v>
      </c>
      <c r="C37" s="251">
        <v>110</v>
      </c>
      <c r="D37" s="251">
        <v>0</v>
      </c>
      <c r="E37" s="251">
        <v>15</v>
      </c>
      <c r="F37" s="251">
        <v>5</v>
      </c>
      <c r="G37" s="251">
        <f>F37*2/3</f>
        <v>3.3333333333333335</v>
      </c>
      <c r="H37" s="251">
        <v>20</v>
      </c>
      <c r="I37" s="251">
        <v>20</v>
      </c>
      <c r="J37" s="251">
        <v>20</v>
      </c>
      <c r="K37" s="254">
        <v>0.45</v>
      </c>
      <c r="L37" s="254">
        <v>9.9000000000000005E-2</v>
      </c>
      <c r="M37" s="254">
        <v>0.65016000000000007</v>
      </c>
      <c r="N37" s="254">
        <v>7.0999999999999994E-2</v>
      </c>
      <c r="O37" s="251"/>
      <c r="P37" s="251"/>
      <c r="Q37" s="251"/>
    </row>
    <row r="38" spans="1:17" ht="15">
      <c r="A38" s="289" t="s">
        <v>1520</v>
      </c>
      <c r="B38" s="289">
        <v>150</v>
      </c>
      <c r="C38" s="289">
        <v>120</v>
      </c>
      <c r="D38" s="289">
        <v>0</v>
      </c>
      <c r="E38" s="289">
        <v>30</v>
      </c>
      <c r="F38" s="289">
        <v>0</v>
      </c>
      <c r="G38" s="289">
        <v>0</v>
      </c>
      <c r="H38" s="291">
        <v>10</v>
      </c>
      <c r="I38" s="291">
        <v>12</v>
      </c>
      <c r="J38" s="291">
        <v>12</v>
      </c>
      <c r="K38" s="290">
        <v>0.53</v>
      </c>
      <c r="L38" s="290">
        <v>0.26</v>
      </c>
      <c r="M38" s="290">
        <v>0.75</v>
      </c>
      <c r="N38" s="290">
        <v>0.05</v>
      </c>
      <c r="O38" s="251"/>
      <c r="P38" s="251"/>
      <c r="Q38" s="251"/>
    </row>
    <row r="39" spans="1:17" ht="15">
      <c r="A39" s="253" t="s">
        <v>1393</v>
      </c>
      <c r="B39" s="251">
        <v>400</v>
      </c>
      <c r="C39" s="251">
        <v>200</v>
      </c>
      <c r="D39" s="251">
        <v>0</v>
      </c>
      <c r="E39" s="251">
        <v>60</v>
      </c>
      <c r="F39" s="251">
        <v>35</v>
      </c>
      <c r="G39" s="251">
        <f>F39*2/3</f>
        <v>23.333333333333332</v>
      </c>
      <c r="H39" s="251">
        <v>20</v>
      </c>
      <c r="I39" s="251">
        <v>20</v>
      </c>
      <c r="J39" s="251">
        <v>20</v>
      </c>
      <c r="K39" s="254">
        <v>0.49</v>
      </c>
      <c r="L39" s="254">
        <v>0.16300000000000001</v>
      </c>
      <c r="M39" s="254">
        <v>0.59</v>
      </c>
      <c r="N39" s="254">
        <v>4.1000000000000002E-2</v>
      </c>
      <c r="O39" s="251"/>
      <c r="P39" s="251"/>
      <c r="Q39" s="251"/>
    </row>
    <row r="40" spans="1:17" ht="15">
      <c r="A40" s="253" t="s">
        <v>1584</v>
      </c>
      <c r="B40" s="251">
        <v>800</v>
      </c>
      <c r="C40" s="251">
        <v>210</v>
      </c>
      <c r="D40" s="251">
        <v>0</v>
      </c>
      <c r="E40" s="251">
        <v>30</v>
      </c>
      <c r="F40" s="251">
        <v>50</v>
      </c>
      <c r="G40" s="251">
        <f>F40*2/3</f>
        <v>33.333333333333336</v>
      </c>
      <c r="H40" s="251">
        <v>20</v>
      </c>
      <c r="I40" s="251">
        <v>40</v>
      </c>
      <c r="J40" s="251">
        <v>40</v>
      </c>
      <c r="K40" s="254">
        <v>0.15</v>
      </c>
      <c r="L40" s="254">
        <v>6.9000000000000006E-2</v>
      </c>
      <c r="M40" s="254">
        <v>0.24080000000000001</v>
      </c>
      <c r="N40" s="254">
        <v>0.02</v>
      </c>
      <c r="O40" s="251"/>
      <c r="P40" s="251"/>
      <c r="Q40" s="251"/>
    </row>
    <row r="41" spans="1:17" ht="15">
      <c r="A41" s="289" t="s">
        <v>1523</v>
      </c>
      <c r="B41" s="289">
        <v>185</v>
      </c>
      <c r="C41" s="289">
        <v>135</v>
      </c>
      <c r="D41" s="289">
        <v>0</v>
      </c>
      <c r="E41" s="289">
        <v>30</v>
      </c>
      <c r="F41" s="289">
        <v>0</v>
      </c>
      <c r="G41" s="289">
        <v>0</v>
      </c>
      <c r="H41" s="291">
        <v>10</v>
      </c>
      <c r="I41" s="291">
        <v>13.5</v>
      </c>
      <c r="J41" s="291">
        <v>13.5</v>
      </c>
      <c r="K41" s="290">
        <v>0.51</v>
      </c>
      <c r="L41" s="290">
        <v>0.16</v>
      </c>
      <c r="M41" s="290">
        <v>0.7</v>
      </c>
      <c r="N41" s="290">
        <v>0.14000000000000001</v>
      </c>
      <c r="O41" s="251"/>
      <c r="P41" s="251"/>
      <c r="Q41" s="251"/>
    </row>
    <row r="42" spans="1:17" ht="15">
      <c r="A42" s="289" t="s">
        <v>1524</v>
      </c>
      <c r="B42" s="289">
        <v>190</v>
      </c>
      <c r="C42" s="289">
        <v>120</v>
      </c>
      <c r="D42" s="289">
        <v>0</v>
      </c>
      <c r="E42" s="289">
        <v>30</v>
      </c>
      <c r="F42" s="289">
        <v>0</v>
      </c>
      <c r="G42" s="289">
        <v>0</v>
      </c>
      <c r="H42" s="291">
        <v>10</v>
      </c>
      <c r="I42" s="291">
        <v>12</v>
      </c>
      <c r="J42" s="291">
        <v>12</v>
      </c>
      <c r="K42" s="290">
        <v>0.41</v>
      </c>
      <c r="L42" s="290">
        <v>0.1</v>
      </c>
      <c r="M42" s="290">
        <v>0.7</v>
      </c>
      <c r="N42" s="290">
        <v>0.04</v>
      </c>
      <c r="O42" s="251"/>
      <c r="P42" s="251"/>
      <c r="Q42" s="251"/>
    </row>
    <row r="43" spans="1:17" ht="15">
      <c r="A43" s="343" t="s">
        <v>2088</v>
      </c>
      <c r="B43" s="344">
        <v>80</v>
      </c>
      <c r="C43" s="291">
        <v>85</v>
      </c>
      <c r="D43" s="291">
        <v>0</v>
      </c>
      <c r="E43" s="344">
        <v>60</v>
      </c>
      <c r="F43" s="291">
        <v>65</v>
      </c>
      <c r="G43" s="251">
        <f>F43*2/3</f>
        <v>43.333333333333336</v>
      </c>
      <c r="H43" s="291">
        <v>20</v>
      </c>
      <c r="I43" s="344">
        <v>20</v>
      </c>
      <c r="J43" s="344">
        <v>20</v>
      </c>
      <c r="K43" s="345">
        <v>1</v>
      </c>
      <c r="L43" s="345">
        <v>0.23</v>
      </c>
      <c r="M43" s="345">
        <v>0.36</v>
      </c>
      <c r="N43" s="345">
        <v>0.06</v>
      </c>
      <c r="O43" s="251"/>
      <c r="P43" s="251"/>
      <c r="Q43" s="251"/>
    </row>
    <row r="44" spans="1:17" ht="15">
      <c r="A44" s="252" t="s">
        <v>2122</v>
      </c>
      <c r="B44" s="347">
        <v>140</v>
      </c>
      <c r="C44" s="250">
        <v>120</v>
      </c>
      <c r="D44" s="250">
        <v>0</v>
      </c>
      <c r="E44" s="250">
        <v>30</v>
      </c>
      <c r="F44" s="250">
        <v>0</v>
      </c>
      <c r="G44" s="250">
        <v>0</v>
      </c>
      <c r="H44" s="293">
        <v>20</v>
      </c>
      <c r="I44" s="293">
        <v>20</v>
      </c>
      <c r="J44" s="293">
        <v>20</v>
      </c>
      <c r="K44" s="290">
        <v>0.48</v>
      </c>
      <c r="L44" s="292">
        <v>0.3</v>
      </c>
      <c r="M44" s="292">
        <v>0.5</v>
      </c>
      <c r="N44" s="292">
        <v>4.4999999999999998E-2</v>
      </c>
      <c r="O44" s="251"/>
      <c r="P44" s="251"/>
      <c r="Q44" s="251"/>
    </row>
    <row r="45" spans="1:17" ht="15">
      <c r="A45" s="253" t="s">
        <v>1394</v>
      </c>
      <c r="B45" s="251">
        <v>400</v>
      </c>
      <c r="C45" s="251">
        <v>200</v>
      </c>
      <c r="D45" s="251">
        <v>0</v>
      </c>
      <c r="E45" s="251">
        <v>60</v>
      </c>
      <c r="F45" s="251">
        <v>45</v>
      </c>
      <c r="G45" s="251">
        <f>F45*2/3</f>
        <v>30</v>
      </c>
      <c r="H45" s="251">
        <v>20</v>
      </c>
      <c r="I45" s="251">
        <v>20</v>
      </c>
      <c r="J45" s="251">
        <v>20</v>
      </c>
      <c r="K45" s="254">
        <v>0.2</v>
      </c>
      <c r="L45" s="254">
        <v>6.9000000000000006E-2</v>
      </c>
      <c r="M45" s="254">
        <v>0.48160000000000003</v>
      </c>
      <c r="N45" s="254">
        <v>3.3160000000000002E-2</v>
      </c>
      <c r="O45" s="251"/>
      <c r="P45" s="251"/>
      <c r="Q45" s="251"/>
    </row>
    <row r="46" spans="1:17" ht="15">
      <c r="A46" s="253" t="s">
        <v>1395</v>
      </c>
      <c r="B46" s="251">
        <v>450</v>
      </c>
      <c r="C46" s="251">
        <v>230</v>
      </c>
      <c r="D46" s="251">
        <v>0</v>
      </c>
      <c r="E46" s="251">
        <v>30</v>
      </c>
      <c r="F46" s="251">
        <v>30</v>
      </c>
      <c r="G46" s="251">
        <f>F46*2/3</f>
        <v>20</v>
      </c>
      <c r="H46" s="251">
        <v>20</v>
      </c>
      <c r="I46" s="251">
        <v>20</v>
      </c>
      <c r="J46" s="251">
        <v>20</v>
      </c>
      <c r="K46" s="254">
        <v>0.28000000000000003</v>
      </c>
      <c r="L46" s="254">
        <v>0.10299999999999999</v>
      </c>
      <c r="M46" s="254">
        <v>0.42139999999999994</v>
      </c>
      <c r="N46" s="254">
        <v>2.5000000000000001E-2</v>
      </c>
      <c r="O46" s="251"/>
      <c r="P46" s="251"/>
      <c r="Q46" s="251"/>
    </row>
    <row r="47" spans="1:17" ht="15">
      <c r="A47" s="253" t="s">
        <v>2089</v>
      </c>
      <c r="B47" s="251">
        <v>700</v>
      </c>
      <c r="C47" s="346">
        <v>270</v>
      </c>
      <c r="D47" s="346">
        <v>0</v>
      </c>
      <c r="E47" s="251">
        <v>30</v>
      </c>
      <c r="F47" s="346">
        <v>30</v>
      </c>
      <c r="G47" s="251">
        <f>F47*2/3</f>
        <v>20</v>
      </c>
      <c r="H47" s="346">
        <v>20</v>
      </c>
      <c r="I47" s="251">
        <v>20</v>
      </c>
      <c r="J47" s="251">
        <v>20</v>
      </c>
      <c r="K47" s="254">
        <v>0.23</v>
      </c>
      <c r="L47" s="254">
        <v>0.10299999999999999</v>
      </c>
      <c r="M47" s="254">
        <v>0.42</v>
      </c>
      <c r="N47" s="254">
        <v>2.5000000000000001E-2</v>
      </c>
      <c r="O47" s="251"/>
      <c r="P47" s="251"/>
      <c r="Q47" s="251"/>
    </row>
    <row r="48" spans="1:17" ht="15">
      <c r="A48" s="252" t="s">
        <v>1396</v>
      </c>
      <c r="B48" s="301">
        <v>550</v>
      </c>
      <c r="C48" s="301">
        <v>110</v>
      </c>
      <c r="D48" s="250">
        <v>0</v>
      </c>
      <c r="E48" s="301">
        <v>60</v>
      </c>
      <c r="F48" s="301">
        <v>25</v>
      </c>
      <c r="G48" s="301">
        <f>F48*2/3</f>
        <v>16.666666666666668</v>
      </c>
      <c r="H48" s="301">
        <v>20</v>
      </c>
      <c r="I48" s="301">
        <v>20</v>
      </c>
      <c r="J48" s="301">
        <v>20</v>
      </c>
      <c r="K48" s="302">
        <v>0.25</v>
      </c>
      <c r="L48" s="302">
        <v>0.11</v>
      </c>
      <c r="M48" s="302">
        <v>0.4</v>
      </c>
      <c r="N48" s="302">
        <v>2.5000000000000001E-2</v>
      </c>
      <c r="O48" s="251"/>
      <c r="P48" s="251"/>
      <c r="Q48" s="251"/>
    </row>
    <row r="49" spans="1:17" ht="15">
      <c r="A49" s="249" t="s">
        <v>1585</v>
      </c>
      <c r="B49" s="289">
        <v>120</v>
      </c>
      <c r="C49" s="289">
        <v>100</v>
      </c>
      <c r="D49" s="289">
        <v>0</v>
      </c>
      <c r="E49" s="289">
        <v>30</v>
      </c>
      <c r="F49" s="289">
        <v>0</v>
      </c>
      <c r="G49" s="289">
        <v>0</v>
      </c>
      <c r="H49" s="291">
        <v>10</v>
      </c>
      <c r="I49" s="291">
        <v>5</v>
      </c>
      <c r="J49" s="291">
        <v>5</v>
      </c>
      <c r="K49" s="290">
        <v>0.51</v>
      </c>
      <c r="L49" s="290">
        <v>0.14000000000000001</v>
      </c>
      <c r="M49" s="290">
        <v>0.82</v>
      </c>
      <c r="N49" s="290">
        <v>0.08</v>
      </c>
      <c r="O49" s="251"/>
      <c r="P49" s="251"/>
      <c r="Q49" s="251"/>
    </row>
    <row r="50" spans="1:17" ht="15">
      <c r="A50" s="252" t="s">
        <v>2090</v>
      </c>
      <c r="B50" s="301">
        <v>300</v>
      </c>
      <c r="C50" s="301">
        <v>140</v>
      </c>
      <c r="D50" s="250">
        <v>0</v>
      </c>
      <c r="E50" s="301">
        <v>60</v>
      </c>
      <c r="F50" s="251">
        <v>50</v>
      </c>
      <c r="G50" s="251">
        <f>F50*2/3</f>
        <v>33.333333333333336</v>
      </c>
      <c r="H50" s="251">
        <v>20</v>
      </c>
      <c r="I50" s="251">
        <v>20</v>
      </c>
      <c r="J50" s="251">
        <v>20</v>
      </c>
      <c r="K50" s="254">
        <v>0.25</v>
      </c>
      <c r="L50" s="254">
        <v>0.20599999999999999</v>
      </c>
      <c r="M50" s="254">
        <v>0.55000000000000004</v>
      </c>
      <c r="N50" s="254">
        <v>0.08</v>
      </c>
      <c r="O50" s="251"/>
      <c r="P50" s="251"/>
      <c r="Q50" s="251"/>
    </row>
    <row r="51" spans="1:17" ht="15">
      <c r="A51" s="252" t="s">
        <v>2091</v>
      </c>
      <c r="B51" s="243">
        <v>7</v>
      </c>
      <c r="C51" s="291">
        <v>90</v>
      </c>
      <c r="D51" s="291">
        <v>0</v>
      </c>
      <c r="E51" s="243">
        <v>60</v>
      </c>
      <c r="F51" s="346">
        <v>50</v>
      </c>
      <c r="G51" s="251">
        <f>F51*2/3</f>
        <v>33.333333333333336</v>
      </c>
      <c r="H51" s="346">
        <v>20</v>
      </c>
      <c r="I51" s="251">
        <v>20</v>
      </c>
      <c r="J51" s="251">
        <v>20</v>
      </c>
      <c r="K51" s="254">
        <v>3</v>
      </c>
      <c r="L51" s="254">
        <v>2.9</v>
      </c>
      <c r="M51" s="254">
        <v>3</v>
      </c>
      <c r="N51" s="254">
        <v>1.4</v>
      </c>
      <c r="O51" s="251"/>
      <c r="P51" s="251"/>
      <c r="Q51" s="251"/>
    </row>
    <row r="52" spans="1:17" ht="15">
      <c r="A52" s="253" t="s">
        <v>2118</v>
      </c>
      <c r="B52" s="251">
        <v>400</v>
      </c>
      <c r="C52" s="251">
        <v>140</v>
      </c>
      <c r="D52" s="251">
        <v>0</v>
      </c>
      <c r="E52" s="251">
        <v>60</v>
      </c>
      <c r="F52" s="251">
        <v>50</v>
      </c>
      <c r="G52" s="251">
        <f>F52*2/3</f>
        <v>33.333333333333336</v>
      </c>
      <c r="H52" s="251">
        <v>20</v>
      </c>
      <c r="I52" s="251">
        <v>20</v>
      </c>
      <c r="J52" s="251">
        <v>20</v>
      </c>
      <c r="K52" s="254">
        <v>0.25</v>
      </c>
      <c r="L52" s="254">
        <v>0.20599999999999999</v>
      </c>
      <c r="M52" s="254">
        <v>0.55000000000000004</v>
      </c>
      <c r="N52" s="254">
        <v>0.08</v>
      </c>
      <c r="O52" s="251"/>
      <c r="P52" s="251"/>
      <c r="Q52" s="251"/>
    </row>
    <row r="53" spans="1:17" ht="15">
      <c r="A53" s="249" t="s">
        <v>1531</v>
      </c>
      <c r="B53" s="289">
        <v>25</v>
      </c>
      <c r="C53" s="289">
        <v>90</v>
      </c>
      <c r="D53" s="289">
        <v>0</v>
      </c>
      <c r="E53" s="289">
        <v>60</v>
      </c>
      <c r="F53" s="289">
        <v>0</v>
      </c>
      <c r="G53" s="289">
        <v>0</v>
      </c>
      <c r="H53" s="291">
        <v>10</v>
      </c>
      <c r="I53" s="291">
        <v>9</v>
      </c>
      <c r="J53" s="291">
        <v>9</v>
      </c>
      <c r="K53" s="290">
        <v>0.51</v>
      </c>
      <c r="L53" s="290">
        <v>0.13</v>
      </c>
      <c r="M53" s="290">
        <v>0.77</v>
      </c>
      <c r="N53" s="290">
        <v>0.15</v>
      </c>
      <c r="O53" s="251"/>
      <c r="P53" s="251"/>
      <c r="Q53" s="251"/>
    </row>
    <row r="54" spans="1:17" ht="12" customHeight="1">
      <c r="A54" s="249" t="s">
        <v>1398</v>
      </c>
      <c r="B54" s="289">
        <v>550</v>
      </c>
      <c r="C54" s="289">
        <v>245</v>
      </c>
      <c r="D54" s="289">
        <v>0</v>
      </c>
      <c r="E54" s="289">
        <v>60</v>
      </c>
      <c r="F54" s="289">
        <v>0</v>
      </c>
      <c r="G54" s="289">
        <v>0</v>
      </c>
      <c r="H54" s="291">
        <v>10</v>
      </c>
      <c r="I54" s="291">
        <v>25</v>
      </c>
      <c r="J54" s="291">
        <v>25</v>
      </c>
      <c r="K54" s="290">
        <v>0.37</v>
      </c>
      <c r="L54" s="290">
        <v>0.11</v>
      </c>
      <c r="M54" s="290">
        <v>0.5</v>
      </c>
      <c r="N54" s="290">
        <v>0.06</v>
      </c>
      <c r="O54" s="251"/>
      <c r="P54" s="251"/>
      <c r="Q54" s="251"/>
    </row>
    <row r="55" spans="1:17" ht="15">
      <c r="A55" s="289" t="s">
        <v>1536</v>
      </c>
      <c r="B55" s="289">
        <v>275</v>
      </c>
      <c r="C55" s="289">
        <v>135</v>
      </c>
      <c r="D55" s="289">
        <v>0</v>
      </c>
      <c r="E55" s="289">
        <v>60</v>
      </c>
      <c r="F55" s="289">
        <v>0</v>
      </c>
      <c r="G55" s="289">
        <v>0</v>
      </c>
      <c r="H55" s="291">
        <v>10</v>
      </c>
      <c r="I55" s="291">
        <v>14</v>
      </c>
      <c r="J55" s="291">
        <v>14</v>
      </c>
      <c r="K55" s="290">
        <v>0.35</v>
      </c>
      <c r="L55" s="290">
        <v>0.11</v>
      </c>
      <c r="M55" s="290">
        <v>0.53</v>
      </c>
      <c r="N55" s="290">
        <v>0.02</v>
      </c>
      <c r="O55" s="251"/>
      <c r="P55" s="251"/>
      <c r="Q55" s="251"/>
    </row>
    <row r="56" spans="1:17" ht="15">
      <c r="A56" s="249" t="s">
        <v>1399</v>
      </c>
      <c r="B56" s="289">
        <v>200</v>
      </c>
      <c r="C56" s="289">
        <v>135</v>
      </c>
      <c r="D56" s="289">
        <v>0</v>
      </c>
      <c r="E56" s="289">
        <v>30</v>
      </c>
      <c r="F56" s="289">
        <v>0</v>
      </c>
      <c r="G56" s="289">
        <v>0</v>
      </c>
      <c r="H56" s="291">
        <v>10</v>
      </c>
      <c r="I56" s="291">
        <v>14</v>
      </c>
      <c r="J56" s="291">
        <v>14</v>
      </c>
      <c r="K56" s="290">
        <v>0.48</v>
      </c>
      <c r="L56" s="290">
        <v>0.14000000000000001</v>
      </c>
      <c r="M56" s="290">
        <v>0.59</v>
      </c>
      <c r="N56" s="290">
        <v>7.0000000000000007E-2</v>
      </c>
      <c r="O56" s="251"/>
      <c r="P56" s="251"/>
      <c r="Q56" s="251"/>
    </row>
    <row r="57" spans="1:17" ht="15">
      <c r="A57" s="252" t="s">
        <v>2119</v>
      </c>
      <c r="B57" s="301">
        <v>400</v>
      </c>
      <c r="C57" s="301">
        <v>180</v>
      </c>
      <c r="D57" s="250">
        <v>0</v>
      </c>
      <c r="E57" s="301">
        <v>60</v>
      </c>
      <c r="F57" s="301">
        <v>25</v>
      </c>
      <c r="G57" s="301">
        <f>F57*2/3</f>
        <v>16.666666666666668</v>
      </c>
      <c r="H57" s="301">
        <v>20</v>
      </c>
      <c r="I57" s="301">
        <v>20</v>
      </c>
      <c r="J57" s="301">
        <v>20</v>
      </c>
      <c r="K57" s="302">
        <v>0.26</v>
      </c>
      <c r="L57" s="302">
        <v>0.09</v>
      </c>
      <c r="M57" s="302">
        <v>0.5</v>
      </c>
      <c r="N57" s="302">
        <v>0.08</v>
      </c>
      <c r="O57" s="255"/>
      <c r="P57" s="255"/>
      <c r="Q57" s="255"/>
    </row>
    <row r="58" spans="1:17" ht="15">
      <c r="A58" s="252" t="s">
        <v>2092</v>
      </c>
      <c r="B58" s="301">
        <v>320</v>
      </c>
      <c r="C58" s="301">
        <v>120</v>
      </c>
      <c r="D58" s="250">
        <v>0</v>
      </c>
      <c r="E58" s="301">
        <v>60</v>
      </c>
      <c r="F58" s="301">
        <v>25</v>
      </c>
      <c r="G58" s="301">
        <f>F58*2/3</f>
        <v>16.666666666666668</v>
      </c>
      <c r="H58" s="301">
        <v>20</v>
      </c>
      <c r="I58" s="301">
        <v>20</v>
      </c>
      <c r="J58" s="301">
        <v>20</v>
      </c>
      <c r="K58" s="302">
        <v>0.26</v>
      </c>
      <c r="L58" s="302">
        <v>0.09</v>
      </c>
      <c r="M58" s="302">
        <v>0.5</v>
      </c>
      <c r="N58" s="302">
        <v>0.08</v>
      </c>
      <c r="O58" s="251"/>
      <c r="P58" s="251"/>
      <c r="Q58" s="251"/>
    </row>
    <row r="59" spans="1:17" ht="15">
      <c r="A59" s="252" t="s">
        <v>2093</v>
      </c>
      <c r="B59" s="301">
        <v>550</v>
      </c>
      <c r="C59" s="301">
        <v>190</v>
      </c>
      <c r="D59" s="250">
        <v>0</v>
      </c>
      <c r="E59" s="301">
        <v>60</v>
      </c>
      <c r="F59" s="301">
        <v>42</v>
      </c>
      <c r="G59" s="301">
        <f>F59*2/3</f>
        <v>28</v>
      </c>
      <c r="H59" s="301">
        <v>20</v>
      </c>
      <c r="I59" s="301">
        <v>20</v>
      </c>
      <c r="J59" s="301">
        <v>20</v>
      </c>
      <c r="K59" s="302">
        <v>0.18</v>
      </c>
      <c r="L59" s="302">
        <v>0.08</v>
      </c>
      <c r="M59" s="302">
        <v>0.55000000000000004</v>
      </c>
      <c r="N59" s="302">
        <v>0.08</v>
      </c>
      <c r="O59" s="251"/>
      <c r="P59" s="251"/>
      <c r="Q59" s="251"/>
    </row>
    <row r="60" spans="1:17" ht="15">
      <c r="A60" s="252" t="s">
        <v>2094</v>
      </c>
      <c r="B60" s="301">
        <v>300</v>
      </c>
      <c r="C60" s="301">
        <v>90</v>
      </c>
      <c r="D60" s="250">
        <v>0</v>
      </c>
      <c r="E60" s="301">
        <v>60</v>
      </c>
      <c r="F60" s="301">
        <v>30</v>
      </c>
      <c r="G60" s="301">
        <f>F60*2/3</f>
        <v>20</v>
      </c>
      <c r="H60" s="301">
        <v>20</v>
      </c>
      <c r="I60" s="301">
        <v>20</v>
      </c>
      <c r="J60" s="301">
        <v>20</v>
      </c>
      <c r="K60" s="302">
        <v>0.18</v>
      </c>
      <c r="L60" s="302">
        <v>0.08</v>
      </c>
      <c r="M60" s="302">
        <v>0.55000000000000004</v>
      </c>
      <c r="N60" s="302">
        <v>0.08</v>
      </c>
      <c r="O60" s="251"/>
      <c r="P60" s="251"/>
      <c r="Q60" s="251"/>
    </row>
    <row r="61" spans="1:17" ht="15">
      <c r="A61" s="249" t="s">
        <v>1400</v>
      </c>
      <c r="B61" s="289">
        <v>200</v>
      </c>
      <c r="C61" s="289">
        <v>255</v>
      </c>
      <c r="D61" s="289">
        <v>0</v>
      </c>
      <c r="E61" s="289">
        <v>60</v>
      </c>
      <c r="F61" s="289">
        <v>0</v>
      </c>
      <c r="G61" s="289">
        <v>0</v>
      </c>
      <c r="H61" s="291">
        <v>10</v>
      </c>
      <c r="I61" s="291">
        <v>26</v>
      </c>
      <c r="J61" s="291">
        <v>26</v>
      </c>
      <c r="K61" s="290">
        <v>0.69</v>
      </c>
      <c r="L61" s="290">
        <v>0.22</v>
      </c>
      <c r="M61" s="290">
        <v>0.72</v>
      </c>
      <c r="N61" s="290">
        <v>7.0000000000000007E-2</v>
      </c>
      <c r="O61" s="251"/>
      <c r="P61" s="251"/>
      <c r="Q61" s="251"/>
    </row>
    <row r="62" spans="1:17" ht="15">
      <c r="A62" s="252" t="s">
        <v>1586</v>
      </c>
      <c r="B62" s="289">
        <v>150</v>
      </c>
      <c r="C62" s="289">
        <v>90</v>
      </c>
      <c r="D62" s="289">
        <v>0</v>
      </c>
      <c r="E62" s="289">
        <v>30</v>
      </c>
      <c r="F62" s="289">
        <v>0</v>
      </c>
      <c r="G62" s="289">
        <v>0</v>
      </c>
      <c r="H62" s="291">
        <v>10</v>
      </c>
      <c r="I62" s="291">
        <v>5</v>
      </c>
      <c r="J62" s="291">
        <v>5</v>
      </c>
      <c r="K62" s="290">
        <v>0.33</v>
      </c>
      <c r="L62" s="290">
        <v>0.11</v>
      </c>
      <c r="M62" s="290">
        <v>0.53</v>
      </c>
      <c r="N62" s="290">
        <v>0.02</v>
      </c>
      <c r="O62" s="251"/>
      <c r="P62" s="251"/>
      <c r="Q62" s="251"/>
    </row>
    <row r="63" spans="1:17" ht="15">
      <c r="A63" s="252" t="s">
        <v>1401</v>
      </c>
      <c r="B63" s="301">
        <v>200</v>
      </c>
      <c r="C63" s="301">
        <v>185</v>
      </c>
      <c r="D63" s="250">
        <v>0</v>
      </c>
      <c r="E63" s="301">
        <v>60</v>
      </c>
      <c r="F63" s="301">
        <v>85</v>
      </c>
      <c r="G63" s="251">
        <f>F63*2/3</f>
        <v>56.666666666666664</v>
      </c>
      <c r="H63" s="301">
        <v>20</v>
      </c>
      <c r="I63" s="301">
        <v>20</v>
      </c>
      <c r="J63" s="301">
        <v>20</v>
      </c>
      <c r="K63" s="302">
        <v>0.15</v>
      </c>
      <c r="L63" s="302">
        <v>7.0000000000000007E-2</v>
      </c>
      <c r="M63" s="302">
        <v>0.3</v>
      </c>
      <c r="N63" s="302">
        <v>0.05</v>
      </c>
      <c r="O63" s="251"/>
      <c r="P63" s="251"/>
      <c r="Q63" s="251"/>
    </row>
    <row r="64" spans="1:17" ht="15">
      <c r="A64" s="253" t="s">
        <v>1402</v>
      </c>
      <c r="B64" s="251">
        <v>600</v>
      </c>
      <c r="C64" s="251">
        <v>115</v>
      </c>
      <c r="D64" s="251">
        <v>4</v>
      </c>
      <c r="E64" s="251">
        <v>60</v>
      </c>
      <c r="F64" s="251">
        <v>10</v>
      </c>
      <c r="G64" s="251">
        <f>F64*2/3</f>
        <v>6.666666666666667</v>
      </c>
      <c r="H64" s="251">
        <v>20</v>
      </c>
      <c r="I64" s="251">
        <v>20</v>
      </c>
      <c r="J64" s="251">
        <v>20</v>
      </c>
      <c r="K64" s="254">
        <v>0.17</v>
      </c>
      <c r="L64" s="254">
        <v>8.2000000000000003E-2</v>
      </c>
      <c r="M64" s="254">
        <v>0.52976000000000001</v>
      </c>
      <c r="N64" s="254">
        <v>4.4999999999999998E-2</v>
      </c>
      <c r="O64" s="251"/>
      <c r="P64" s="251"/>
      <c r="Q64" s="251"/>
    </row>
    <row r="65" spans="1:17" ht="15">
      <c r="A65" s="253" t="s">
        <v>1403</v>
      </c>
      <c r="B65" s="251">
        <v>900</v>
      </c>
      <c r="C65" s="251">
        <v>165</v>
      </c>
      <c r="D65" s="251">
        <v>6</v>
      </c>
      <c r="E65" s="251">
        <v>90</v>
      </c>
      <c r="F65" s="251">
        <v>45</v>
      </c>
      <c r="G65" s="251">
        <f>F65*2/3</f>
        <v>30</v>
      </c>
      <c r="H65" s="251">
        <v>20</v>
      </c>
      <c r="I65" s="251">
        <v>20</v>
      </c>
      <c r="J65" s="251">
        <v>20</v>
      </c>
      <c r="K65" s="254">
        <v>0.13</v>
      </c>
      <c r="L65" s="254">
        <v>0.08</v>
      </c>
      <c r="M65" s="254">
        <v>0.42139999999999994</v>
      </c>
      <c r="N65" s="254">
        <v>2.5000000000000001E-2</v>
      </c>
      <c r="O65" s="251"/>
      <c r="P65" s="251"/>
      <c r="Q65" s="251"/>
    </row>
    <row r="66" spans="1:17" ht="15">
      <c r="A66" s="253" t="s">
        <v>1404</v>
      </c>
      <c r="B66" s="251">
        <v>700</v>
      </c>
      <c r="C66" s="251">
        <v>125</v>
      </c>
      <c r="D66" s="251">
        <v>6</v>
      </c>
      <c r="E66" s="251">
        <v>60</v>
      </c>
      <c r="F66" s="251">
        <v>30</v>
      </c>
      <c r="G66" s="251">
        <f>F66*2/3</f>
        <v>20</v>
      </c>
      <c r="H66" s="251">
        <v>20</v>
      </c>
      <c r="I66" s="251">
        <v>20</v>
      </c>
      <c r="J66" s="251">
        <v>20</v>
      </c>
      <c r="K66" s="254">
        <v>0.13</v>
      </c>
      <c r="L66" s="254">
        <v>0.08</v>
      </c>
      <c r="M66" s="254">
        <v>0.42139999999999994</v>
      </c>
      <c r="N66" s="254">
        <v>0.03</v>
      </c>
      <c r="O66" s="251"/>
      <c r="P66" s="251"/>
      <c r="Q66" s="251"/>
    </row>
    <row r="67" spans="1:17" ht="15">
      <c r="A67" s="249" t="s">
        <v>1587</v>
      </c>
      <c r="B67" s="301">
        <v>120</v>
      </c>
      <c r="C67" s="301">
        <v>100</v>
      </c>
      <c r="D67" s="301">
        <v>0</v>
      </c>
      <c r="E67" s="301">
        <v>30</v>
      </c>
      <c r="F67" s="301">
        <v>0</v>
      </c>
      <c r="G67" s="301">
        <v>0</v>
      </c>
      <c r="H67" s="301">
        <v>10</v>
      </c>
      <c r="I67" s="250">
        <v>5</v>
      </c>
      <c r="J67" s="250">
        <v>5</v>
      </c>
      <c r="K67" s="302">
        <v>0.5</v>
      </c>
      <c r="L67" s="302">
        <v>0.14000000000000001</v>
      </c>
      <c r="M67" s="302">
        <v>0.52</v>
      </c>
      <c r="N67" s="302">
        <v>0.17</v>
      </c>
      <c r="O67" s="251"/>
      <c r="P67" s="251"/>
      <c r="Q67" s="251"/>
    </row>
    <row r="68" spans="1:17" ht="15">
      <c r="A68" s="252" t="s">
        <v>1405</v>
      </c>
      <c r="B68" s="301">
        <v>700</v>
      </c>
      <c r="C68" s="301">
        <v>180</v>
      </c>
      <c r="D68" s="250">
        <v>0</v>
      </c>
      <c r="E68" s="301">
        <v>60</v>
      </c>
      <c r="F68" s="301">
        <v>5</v>
      </c>
      <c r="G68" s="251">
        <f t="shared" ref="G68:G73" si="1">F68*2/3</f>
        <v>3.3333333333333335</v>
      </c>
      <c r="H68" s="301">
        <v>20</v>
      </c>
      <c r="I68" s="301">
        <v>20</v>
      </c>
      <c r="J68" s="301">
        <v>20</v>
      </c>
      <c r="K68" s="302">
        <v>0.22</v>
      </c>
      <c r="L68" s="302">
        <v>6.9000000000000006E-2</v>
      </c>
      <c r="M68" s="302">
        <v>0.42</v>
      </c>
      <c r="N68" s="302">
        <v>1.7000000000000001E-2</v>
      </c>
      <c r="O68" s="251"/>
      <c r="P68" s="251"/>
      <c r="Q68" s="251"/>
    </row>
    <row r="69" spans="1:17" ht="15">
      <c r="A69" s="252" t="s">
        <v>1705</v>
      </c>
      <c r="B69" s="301">
        <v>600</v>
      </c>
      <c r="C69" s="301">
        <v>160</v>
      </c>
      <c r="D69" s="250">
        <v>0</v>
      </c>
      <c r="E69" s="301">
        <v>60</v>
      </c>
      <c r="F69" s="301">
        <v>5</v>
      </c>
      <c r="G69" s="251">
        <f t="shared" si="1"/>
        <v>3.3333333333333335</v>
      </c>
      <c r="H69" s="301">
        <v>20</v>
      </c>
      <c r="I69" s="301">
        <v>20</v>
      </c>
      <c r="J69" s="301">
        <v>20</v>
      </c>
      <c r="K69" s="302">
        <v>0.22</v>
      </c>
      <c r="L69" s="302">
        <v>6.9000000000000006E-2</v>
      </c>
      <c r="M69" s="302">
        <v>0.42</v>
      </c>
      <c r="N69" s="302">
        <v>1.7000000000000001E-2</v>
      </c>
      <c r="O69" s="251"/>
      <c r="P69" s="251"/>
      <c r="Q69" s="251"/>
    </row>
    <row r="70" spans="1:17" ht="15">
      <c r="A70" s="252" t="s">
        <v>1706</v>
      </c>
      <c r="B70" s="243">
        <v>500</v>
      </c>
      <c r="C70" s="243">
        <v>250</v>
      </c>
      <c r="D70" s="243">
        <v>0</v>
      </c>
      <c r="E70" s="243">
        <v>60</v>
      </c>
      <c r="F70" s="243">
        <v>100</v>
      </c>
      <c r="G70" s="240">
        <f t="shared" si="1"/>
        <v>66.666666666666671</v>
      </c>
      <c r="H70" s="243">
        <v>20</v>
      </c>
      <c r="I70" s="243">
        <v>20</v>
      </c>
      <c r="J70" s="243">
        <v>20</v>
      </c>
      <c r="K70" s="303">
        <v>0.21</v>
      </c>
      <c r="L70" s="303">
        <v>7.0000000000000007E-2</v>
      </c>
      <c r="M70" s="303">
        <v>0.36</v>
      </c>
      <c r="N70" s="303">
        <v>0.04</v>
      </c>
      <c r="O70" s="240"/>
      <c r="P70" s="240"/>
      <c r="Q70" s="240"/>
    </row>
    <row r="71" spans="1:17" ht="15">
      <c r="A71" s="253" t="s">
        <v>1406</v>
      </c>
      <c r="B71" s="251">
        <v>400</v>
      </c>
      <c r="C71" s="251">
        <v>140</v>
      </c>
      <c r="D71" s="251">
        <v>4</v>
      </c>
      <c r="E71" s="251">
        <v>60</v>
      </c>
      <c r="F71" s="251">
        <v>50</v>
      </c>
      <c r="G71" s="251">
        <f t="shared" si="1"/>
        <v>33.333333333333336</v>
      </c>
      <c r="H71" s="251">
        <v>20</v>
      </c>
      <c r="I71" s="251">
        <v>20</v>
      </c>
      <c r="J71" s="251">
        <v>20</v>
      </c>
      <c r="K71" s="254">
        <v>0.25</v>
      </c>
      <c r="L71" s="254">
        <v>0.23599999999999999</v>
      </c>
      <c r="M71" s="254">
        <v>0.6</v>
      </c>
      <c r="N71" s="254">
        <v>5.2999999999999999E-2</v>
      </c>
      <c r="O71" s="251"/>
      <c r="P71" s="251"/>
      <c r="Q71" s="251"/>
    </row>
    <row r="72" spans="1:17" ht="15">
      <c r="A72" s="253" t="s">
        <v>1407</v>
      </c>
      <c r="B72" s="251">
        <v>240</v>
      </c>
      <c r="C72" s="251">
        <v>160</v>
      </c>
      <c r="D72" s="251">
        <v>4</v>
      </c>
      <c r="E72" s="251">
        <v>60</v>
      </c>
      <c r="F72" s="251">
        <v>10</v>
      </c>
      <c r="G72" s="251">
        <f t="shared" si="1"/>
        <v>6.666666666666667</v>
      </c>
      <c r="H72" s="251">
        <v>20</v>
      </c>
      <c r="I72" s="251">
        <v>20</v>
      </c>
      <c r="J72" s="251">
        <v>20</v>
      </c>
      <c r="K72" s="254">
        <v>0.45</v>
      </c>
      <c r="L72" s="254">
        <v>0.115</v>
      </c>
      <c r="M72" s="254">
        <v>0.66220000000000001</v>
      </c>
      <c r="N72" s="254">
        <v>3.5999999999999997E-2</v>
      </c>
      <c r="O72" s="251"/>
      <c r="P72" s="251"/>
      <c r="Q72" s="251"/>
    </row>
    <row r="73" spans="1:17" ht="15">
      <c r="A73" s="253" t="s">
        <v>1408</v>
      </c>
      <c r="B73" s="251">
        <v>160</v>
      </c>
      <c r="C73" s="251">
        <v>100</v>
      </c>
      <c r="D73" s="251">
        <v>0</v>
      </c>
      <c r="E73" s="251">
        <v>60</v>
      </c>
      <c r="F73" s="251">
        <v>10</v>
      </c>
      <c r="G73" s="251">
        <f t="shared" si="1"/>
        <v>6.666666666666667</v>
      </c>
      <c r="H73" s="251">
        <v>20</v>
      </c>
      <c r="I73" s="251">
        <v>20</v>
      </c>
      <c r="J73" s="251">
        <v>20</v>
      </c>
      <c r="K73" s="254">
        <v>0.45</v>
      </c>
      <c r="L73" s="254">
        <v>0.115</v>
      </c>
      <c r="M73" s="254">
        <v>0.66220000000000001</v>
      </c>
      <c r="N73" s="254">
        <v>0.04</v>
      </c>
      <c r="O73" s="251"/>
      <c r="P73" s="251"/>
      <c r="Q73" s="251"/>
    </row>
    <row r="74" spans="1:17" ht="30">
      <c r="A74" s="289" t="s">
        <v>1672</v>
      </c>
      <c r="B74" s="294">
        <v>500</v>
      </c>
      <c r="C74" s="294">
        <v>285</v>
      </c>
      <c r="D74" s="289">
        <v>0</v>
      </c>
      <c r="E74" s="294">
        <v>60</v>
      </c>
      <c r="F74" s="294">
        <v>0</v>
      </c>
      <c r="G74" s="294">
        <v>0</v>
      </c>
      <c r="H74" s="291">
        <v>10</v>
      </c>
      <c r="I74" s="291">
        <v>29</v>
      </c>
      <c r="J74" s="291">
        <v>14</v>
      </c>
      <c r="K74" s="290">
        <v>0.49</v>
      </c>
      <c r="L74" s="290">
        <v>0.13</v>
      </c>
      <c r="M74" s="290">
        <v>1.08</v>
      </c>
      <c r="N74" s="290">
        <v>0.08</v>
      </c>
      <c r="O74" s="251"/>
      <c r="P74" s="251"/>
      <c r="Q74" s="251"/>
    </row>
    <row r="75" spans="1:17" ht="15">
      <c r="A75" s="253" t="s">
        <v>1409</v>
      </c>
      <c r="B75" s="251">
        <v>400</v>
      </c>
      <c r="C75" s="251">
        <v>130</v>
      </c>
      <c r="D75" s="251">
        <v>6</v>
      </c>
      <c r="E75" s="251">
        <v>60</v>
      </c>
      <c r="F75" s="251">
        <v>45</v>
      </c>
      <c r="G75" s="251">
        <f>F75*2/3</f>
        <v>30</v>
      </c>
      <c r="H75" s="251">
        <v>20</v>
      </c>
      <c r="I75" s="251">
        <v>20</v>
      </c>
      <c r="J75" s="251">
        <v>20</v>
      </c>
      <c r="K75" s="254">
        <v>0.42</v>
      </c>
      <c r="L75" s="254">
        <v>0.13700000000000001</v>
      </c>
      <c r="M75" s="254">
        <v>0.84279999999999988</v>
      </c>
      <c r="N75" s="254">
        <v>9.0999999999999998E-2</v>
      </c>
      <c r="O75" s="251"/>
      <c r="P75" s="251"/>
      <c r="Q75" s="251"/>
    </row>
    <row r="76" spans="1:17" ht="15">
      <c r="A76" s="249" t="s">
        <v>1410</v>
      </c>
      <c r="B76" s="289">
        <v>400</v>
      </c>
      <c r="C76" s="289">
        <v>210</v>
      </c>
      <c r="D76" s="289">
        <v>0</v>
      </c>
      <c r="E76" s="289">
        <v>30</v>
      </c>
      <c r="F76" s="289">
        <v>0</v>
      </c>
      <c r="G76" s="289">
        <v>0</v>
      </c>
      <c r="H76" s="291">
        <v>10</v>
      </c>
      <c r="I76" s="291">
        <v>21</v>
      </c>
      <c r="J76" s="291">
        <v>21</v>
      </c>
      <c r="K76" s="290">
        <v>0.42</v>
      </c>
      <c r="L76" s="290">
        <v>0.11</v>
      </c>
      <c r="M76" s="290">
        <v>0.55000000000000004</v>
      </c>
      <c r="N76" s="290">
        <v>0.08</v>
      </c>
      <c r="O76" s="251"/>
      <c r="P76" s="251"/>
      <c r="Q76" s="251"/>
    </row>
    <row r="77" spans="1:17" ht="15">
      <c r="A77" s="253" t="s">
        <v>1411</v>
      </c>
      <c r="B77" s="251">
        <v>150</v>
      </c>
      <c r="C77" s="251">
        <v>150</v>
      </c>
      <c r="D77" s="251">
        <v>0</v>
      </c>
      <c r="E77" s="251">
        <v>30</v>
      </c>
      <c r="F77" s="251">
        <v>30</v>
      </c>
      <c r="G77" s="251">
        <v>20</v>
      </c>
      <c r="H77" s="251">
        <v>10</v>
      </c>
      <c r="I77" s="251">
        <v>10</v>
      </c>
      <c r="J77" s="251">
        <v>10</v>
      </c>
      <c r="K77" s="254">
        <v>0.2</v>
      </c>
      <c r="L77" s="290">
        <v>7.0000000000000007E-2</v>
      </c>
      <c r="M77" s="254">
        <v>0.28999999999999998</v>
      </c>
      <c r="N77" s="254">
        <v>0.02</v>
      </c>
      <c r="O77" s="251"/>
      <c r="P77" s="251"/>
      <c r="Q77" s="251"/>
    </row>
    <row r="78" spans="1:17" ht="15">
      <c r="A78" s="253" t="s">
        <v>1412</v>
      </c>
      <c r="B78" s="251">
        <v>600</v>
      </c>
      <c r="C78" s="251">
        <v>250</v>
      </c>
      <c r="D78" s="251">
        <v>0</v>
      </c>
      <c r="E78" s="251">
        <v>60</v>
      </c>
      <c r="F78" s="251">
        <v>55</v>
      </c>
      <c r="G78" s="251">
        <f t="shared" ref="G78:G94" si="2">F78*2/3</f>
        <v>36.666666666666664</v>
      </c>
      <c r="H78" s="251">
        <v>20</v>
      </c>
      <c r="I78" s="251">
        <v>40</v>
      </c>
      <c r="J78" s="251">
        <v>40</v>
      </c>
      <c r="K78" s="254">
        <v>0.25</v>
      </c>
      <c r="L78" s="254">
        <v>0.08</v>
      </c>
      <c r="M78" s="254">
        <v>0.36119999999999997</v>
      </c>
      <c r="N78" s="254">
        <v>3.3160000000000002E-2</v>
      </c>
      <c r="O78" s="251"/>
      <c r="P78" s="251"/>
      <c r="Q78" s="251"/>
    </row>
    <row r="79" spans="1:17" ht="15">
      <c r="A79" s="252" t="s">
        <v>1413</v>
      </c>
      <c r="B79" s="301">
        <v>150</v>
      </c>
      <c r="C79" s="301">
        <v>90</v>
      </c>
      <c r="D79" s="301">
        <v>0</v>
      </c>
      <c r="E79" s="301">
        <v>30</v>
      </c>
      <c r="F79" s="301">
        <v>0</v>
      </c>
      <c r="G79" s="251">
        <f t="shared" si="2"/>
        <v>0</v>
      </c>
      <c r="H79" s="251">
        <v>20</v>
      </c>
      <c r="I79" s="251">
        <v>20</v>
      </c>
      <c r="J79" s="251">
        <v>20</v>
      </c>
      <c r="K79" s="302">
        <v>0.33</v>
      </c>
      <c r="L79" s="302">
        <v>0.11</v>
      </c>
      <c r="M79" s="302">
        <v>0.53</v>
      </c>
      <c r="N79" s="302">
        <v>0.02</v>
      </c>
      <c r="O79" s="251"/>
      <c r="P79" s="251"/>
      <c r="Q79" s="251"/>
    </row>
    <row r="80" spans="1:17" ht="15">
      <c r="A80" s="252" t="s">
        <v>1414</v>
      </c>
      <c r="B80" s="301">
        <v>100</v>
      </c>
      <c r="C80" s="301">
        <v>70</v>
      </c>
      <c r="D80" s="301">
        <v>0</v>
      </c>
      <c r="E80" s="301">
        <v>30</v>
      </c>
      <c r="F80" s="301">
        <v>0</v>
      </c>
      <c r="G80" s="251">
        <f t="shared" si="2"/>
        <v>0</v>
      </c>
      <c r="H80" s="251">
        <v>20</v>
      </c>
      <c r="I80" s="251">
        <v>20</v>
      </c>
      <c r="J80" s="251">
        <v>20</v>
      </c>
      <c r="K80" s="302">
        <v>0.33</v>
      </c>
      <c r="L80" s="302">
        <v>0.11</v>
      </c>
      <c r="M80" s="302">
        <v>0.53</v>
      </c>
      <c r="N80" s="302">
        <v>0.02</v>
      </c>
      <c r="O80" s="251"/>
      <c r="P80" s="251"/>
      <c r="Q80" s="251"/>
    </row>
    <row r="81" spans="1:17" ht="15">
      <c r="A81" s="252" t="s">
        <v>1415</v>
      </c>
      <c r="B81" s="301">
        <v>150</v>
      </c>
      <c r="C81" s="301">
        <v>90</v>
      </c>
      <c r="D81" s="250">
        <v>0</v>
      </c>
      <c r="E81" s="301">
        <v>30</v>
      </c>
      <c r="F81" s="301">
        <v>0</v>
      </c>
      <c r="G81" s="251">
        <f t="shared" si="2"/>
        <v>0</v>
      </c>
      <c r="H81" s="251">
        <v>20</v>
      </c>
      <c r="I81" s="251">
        <v>20</v>
      </c>
      <c r="J81" s="251">
        <v>20</v>
      </c>
      <c r="K81" s="302">
        <v>0.33</v>
      </c>
      <c r="L81" s="302">
        <v>0.11</v>
      </c>
      <c r="M81" s="302">
        <v>0.53</v>
      </c>
      <c r="N81" s="302">
        <v>0.02</v>
      </c>
      <c r="O81" s="251"/>
      <c r="P81" s="251"/>
      <c r="Q81" s="251"/>
    </row>
    <row r="82" spans="1:17" ht="15">
      <c r="A82" s="252" t="s">
        <v>1416</v>
      </c>
      <c r="B82" s="301">
        <v>100</v>
      </c>
      <c r="C82" s="301">
        <v>70</v>
      </c>
      <c r="D82" s="301">
        <v>0</v>
      </c>
      <c r="E82" s="301">
        <v>30</v>
      </c>
      <c r="F82" s="301">
        <v>0</v>
      </c>
      <c r="G82" s="251">
        <f t="shared" si="2"/>
        <v>0</v>
      </c>
      <c r="H82" s="251">
        <v>20</v>
      </c>
      <c r="I82" s="251">
        <v>20</v>
      </c>
      <c r="J82" s="251">
        <v>20</v>
      </c>
      <c r="K82" s="302">
        <v>0.33</v>
      </c>
      <c r="L82" s="302">
        <v>0.11</v>
      </c>
      <c r="M82" s="302">
        <v>0.53</v>
      </c>
      <c r="N82" s="302">
        <v>0.02</v>
      </c>
      <c r="O82" s="251"/>
      <c r="P82" s="251"/>
      <c r="Q82" s="251"/>
    </row>
    <row r="83" spans="1:17" ht="15">
      <c r="A83" s="253" t="s">
        <v>1417</v>
      </c>
      <c r="B83" s="251">
        <v>300</v>
      </c>
      <c r="C83" s="251">
        <v>110</v>
      </c>
      <c r="D83" s="251">
        <v>0</v>
      </c>
      <c r="E83" s="251">
        <v>30</v>
      </c>
      <c r="F83" s="251">
        <v>5</v>
      </c>
      <c r="G83" s="251">
        <f t="shared" si="2"/>
        <v>3.3333333333333335</v>
      </c>
      <c r="H83" s="251">
        <v>20</v>
      </c>
      <c r="I83" s="251">
        <v>20</v>
      </c>
      <c r="J83" s="251">
        <v>20</v>
      </c>
      <c r="K83" s="254">
        <v>0.2</v>
      </c>
      <c r="L83" s="254">
        <v>6.9000000000000006E-2</v>
      </c>
      <c r="M83" s="254">
        <v>0.33712000000000003</v>
      </c>
      <c r="N83" s="254">
        <v>3.3160000000000002E-2</v>
      </c>
      <c r="O83" s="251"/>
      <c r="P83" s="251"/>
      <c r="Q83" s="251"/>
    </row>
    <row r="84" spans="1:17" ht="15">
      <c r="A84" s="253" t="s">
        <v>1418</v>
      </c>
      <c r="B84" s="251">
        <v>500</v>
      </c>
      <c r="C84" s="251">
        <v>140</v>
      </c>
      <c r="D84" s="251">
        <v>0</v>
      </c>
      <c r="E84" s="251">
        <v>30</v>
      </c>
      <c r="F84" s="251">
        <v>10</v>
      </c>
      <c r="G84" s="251">
        <f t="shared" si="2"/>
        <v>6.666666666666667</v>
      </c>
      <c r="H84" s="251">
        <v>20</v>
      </c>
      <c r="I84" s="251">
        <v>40</v>
      </c>
      <c r="J84" s="251">
        <v>40</v>
      </c>
      <c r="K84" s="254">
        <v>0.17</v>
      </c>
      <c r="L84" s="254">
        <v>7.5999999999999998E-2</v>
      </c>
      <c r="M84" s="254">
        <v>0.36119999999999997</v>
      </c>
      <c r="N84" s="254">
        <v>2.7E-2</v>
      </c>
      <c r="O84" s="251"/>
      <c r="P84" s="251"/>
      <c r="Q84" s="251"/>
    </row>
    <row r="85" spans="1:17" ht="15">
      <c r="A85" s="253" t="s">
        <v>1419</v>
      </c>
      <c r="B85" s="251">
        <v>550</v>
      </c>
      <c r="C85" s="251">
        <v>175</v>
      </c>
      <c r="D85" s="251">
        <v>0</v>
      </c>
      <c r="E85" s="251">
        <v>60</v>
      </c>
      <c r="F85" s="251">
        <v>30</v>
      </c>
      <c r="G85" s="251">
        <f t="shared" si="2"/>
        <v>20</v>
      </c>
      <c r="H85" s="251">
        <v>20</v>
      </c>
      <c r="I85" s="251">
        <v>40</v>
      </c>
      <c r="J85" s="251">
        <v>40</v>
      </c>
      <c r="K85" s="254">
        <v>0.14000000000000001</v>
      </c>
      <c r="L85" s="254">
        <v>0.08</v>
      </c>
      <c r="M85" s="254">
        <v>0.39732000000000001</v>
      </c>
      <c r="N85" s="254">
        <v>1.6580000000000001E-2</v>
      </c>
      <c r="O85" s="251"/>
      <c r="P85" s="251"/>
      <c r="Q85" s="251"/>
    </row>
    <row r="86" spans="1:17" ht="15">
      <c r="A86" s="253" t="s">
        <v>1420</v>
      </c>
      <c r="B86" s="251">
        <v>1000</v>
      </c>
      <c r="C86" s="251">
        <v>230</v>
      </c>
      <c r="D86" s="251">
        <v>0</v>
      </c>
      <c r="E86" s="251">
        <v>60</v>
      </c>
      <c r="F86" s="251">
        <v>45</v>
      </c>
      <c r="G86" s="251">
        <f t="shared" si="2"/>
        <v>30</v>
      </c>
      <c r="H86" s="251">
        <v>20</v>
      </c>
      <c r="I86" s="251">
        <v>40</v>
      </c>
      <c r="J86" s="251">
        <v>40</v>
      </c>
      <c r="K86" s="254">
        <v>0.1</v>
      </c>
      <c r="L86" s="254">
        <v>0.06</v>
      </c>
      <c r="M86" s="254">
        <v>0.33712000000000003</v>
      </c>
      <c r="N86" s="254">
        <v>1.6580000000000001E-2</v>
      </c>
      <c r="O86" s="251"/>
      <c r="P86" s="251"/>
      <c r="Q86" s="251"/>
    </row>
    <row r="87" spans="1:17" ht="15">
      <c r="A87" s="253" t="s">
        <v>1421</v>
      </c>
      <c r="B87" s="251">
        <v>0</v>
      </c>
      <c r="C87" s="251">
        <v>130</v>
      </c>
      <c r="D87" s="251">
        <v>0</v>
      </c>
      <c r="E87" s="251">
        <v>30</v>
      </c>
      <c r="F87" s="251"/>
      <c r="G87" s="251">
        <f t="shared" si="2"/>
        <v>0</v>
      </c>
      <c r="H87" s="251">
        <v>20</v>
      </c>
      <c r="I87" s="251">
        <v>20</v>
      </c>
      <c r="J87" s="251">
        <v>20</v>
      </c>
      <c r="K87" s="254">
        <v>0.18</v>
      </c>
      <c r="L87" s="254">
        <v>9.1999999999999998E-2</v>
      </c>
      <c r="M87" s="254">
        <v>0.48</v>
      </c>
      <c r="N87" s="254">
        <v>2.5000000000000001E-2</v>
      </c>
      <c r="O87" s="251">
        <v>52.5</v>
      </c>
      <c r="P87" s="251">
        <v>93</v>
      </c>
      <c r="Q87" s="251">
        <v>25</v>
      </c>
    </row>
    <row r="88" spans="1:17" ht="15">
      <c r="A88" s="253" t="s">
        <v>1422</v>
      </c>
      <c r="B88" s="251"/>
      <c r="C88" s="251">
        <v>150</v>
      </c>
      <c r="D88" s="251">
        <v>0</v>
      </c>
      <c r="E88" s="251">
        <v>60</v>
      </c>
      <c r="F88" s="251"/>
      <c r="G88" s="251">
        <f t="shared" si="2"/>
        <v>0</v>
      </c>
      <c r="H88" s="251">
        <v>20</v>
      </c>
      <c r="I88" s="251">
        <v>20</v>
      </c>
      <c r="J88" s="251">
        <v>20</v>
      </c>
      <c r="K88" s="254">
        <v>0.18</v>
      </c>
      <c r="L88" s="254">
        <v>9.1999999999999998E-2</v>
      </c>
      <c r="M88" s="254">
        <v>0.48</v>
      </c>
      <c r="N88" s="254">
        <v>2.5000000000000001E-2</v>
      </c>
      <c r="O88" s="251"/>
      <c r="P88" s="251"/>
      <c r="Q88" s="251"/>
    </row>
    <row r="89" spans="1:17" ht="15">
      <c r="A89" s="253" t="s">
        <v>1423</v>
      </c>
      <c r="B89" s="251">
        <v>100</v>
      </c>
      <c r="C89" s="251">
        <v>100</v>
      </c>
      <c r="D89" s="251">
        <v>0</v>
      </c>
      <c r="E89" s="251">
        <v>30</v>
      </c>
      <c r="F89" s="251"/>
      <c r="G89" s="251">
        <f t="shared" si="2"/>
        <v>0</v>
      </c>
      <c r="H89" s="251">
        <v>20</v>
      </c>
      <c r="I89" s="251">
        <v>20</v>
      </c>
      <c r="J89" s="251">
        <v>20</v>
      </c>
      <c r="K89" s="254">
        <v>0.18</v>
      </c>
      <c r="L89" s="254">
        <v>9.1999999999999998E-2</v>
      </c>
      <c r="M89" s="254">
        <v>0.48</v>
      </c>
      <c r="N89" s="254">
        <v>2.5000000000000001E-2</v>
      </c>
      <c r="O89" s="251">
        <v>52.5</v>
      </c>
      <c r="P89" s="251">
        <v>93</v>
      </c>
      <c r="Q89" s="251">
        <v>25</v>
      </c>
    </row>
    <row r="90" spans="1:17" ht="15">
      <c r="A90" s="253" t="s">
        <v>1424</v>
      </c>
      <c r="B90" s="251"/>
      <c r="C90" s="251">
        <v>170</v>
      </c>
      <c r="D90" s="251">
        <v>0</v>
      </c>
      <c r="E90" s="251">
        <v>90</v>
      </c>
      <c r="F90" s="251"/>
      <c r="G90" s="251">
        <f t="shared" si="2"/>
        <v>0</v>
      </c>
      <c r="H90" s="251">
        <v>20</v>
      </c>
      <c r="I90" s="251">
        <v>20</v>
      </c>
      <c r="J90" s="251">
        <v>20</v>
      </c>
      <c r="K90" s="254">
        <v>0.18</v>
      </c>
      <c r="L90" s="254">
        <v>9.1999999999999998E-2</v>
      </c>
      <c r="M90" s="254">
        <v>0.48</v>
      </c>
      <c r="N90" s="254">
        <v>2.5000000000000001E-2</v>
      </c>
      <c r="O90" s="251"/>
      <c r="P90" s="251"/>
      <c r="Q90" s="251"/>
    </row>
    <row r="91" spans="1:17" ht="15">
      <c r="A91" s="253" t="s">
        <v>1425</v>
      </c>
      <c r="B91" s="251">
        <v>200</v>
      </c>
      <c r="C91" s="251">
        <v>120</v>
      </c>
      <c r="D91" s="251">
        <v>0</v>
      </c>
      <c r="E91" s="251">
        <v>60</v>
      </c>
      <c r="F91" s="251"/>
      <c r="G91" s="251">
        <f t="shared" si="2"/>
        <v>0</v>
      </c>
      <c r="H91" s="251">
        <v>20</v>
      </c>
      <c r="I91" s="251">
        <v>20</v>
      </c>
      <c r="J91" s="251">
        <v>20</v>
      </c>
      <c r="K91" s="254">
        <v>0.18</v>
      </c>
      <c r="L91" s="254">
        <v>9.1999999999999998E-2</v>
      </c>
      <c r="M91" s="254">
        <v>0.48</v>
      </c>
      <c r="N91" s="254">
        <v>2.5000000000000001E-2</v>
      </c>
      <c r="O91" s="251"/>
      <c r="P91" s="251">
        <v>93</v>
      </c>
      <c r="Q91" s="251">
        <v>25</v>
      </c>
    </row>
    <row r="92" spans="1:17" ht="15">
      <c r="A92" s="253" t="s">
        <v>1426</v>
      </c>
      <c r="B92" s="251"/>
      <c r="C92" s="251">
        <v>140</v>
      </c>
      <c r="D92" s="251">
        <v>0</v>
      </c>
      <c r="E92" s="251">
        <v>90</v>
      </c>
      <c r="F92" s="251"/>
      <c r="G92" s="251">
        <f t="shared" si="2"/>
        <v>0</v>
      </c>
      <c r="H92" s="251">
        <v>20</v>
      </c>
      <c r="I92" s="251">
        <v>20</v>
      </c>
      <c r="J92" s="251">
        <v>20</v>
      </c>
      <c r="K92" s="254">
        <v>0.18</v>
      </c>
      <c r="L92" s="254">
        <v>9.1999999999999998E-2</v>
      </c>
      <c r="M92" s="254">
        <v>0.48</v>
      </c>
      <c r="N92" s="254">
        <v>2.5000000000000001E-2</v>
      </c>
      <c r="O92" s="251"/>
      <c r="P92" s="251"/>
      <c r="Q92" s="251"/>
    </row>
    <row r="93" spans="1:17" ht="15">
      <c r="A93" s="253" t="s">
        <v>1427</v>
      </c>
      <c r="B93" s="251">
        <v>350</v>
      </c>
      <c r="C93" s="251">
        <v>140</v>
      </c>
      <c r="D93" s="251">
        <v>0</v>
      </c>
      <c r="E93" s="255">
        <v>60</v>
      </c>
      <c r="F93" s="251"/>
      <c r="G93" s="251">
        <f t="shared" si="2"/>
        <v>0</v>
      </c>
      <c r="H93" s="251">
        <v>20</v>
      </c>
      <c r="I93" s="251">
        <v>20</v>
      </c>
      <c r="J93" s="251">
        <v>20</v>
      </c>
      <c r="K93" s="254">
        <v>0.18</v>
      </c>
      <c r="L93" s="254">
        <v>9.1999999999999998E-2</v>
      </c>
      <c r="M93" s="254">
        <v>0.48</v>
      </c>
      <c r="N93" s="254">
        <v>2.5000000000000001E-2</v>
      </c>
      <c r="O93" s="251"/>
      <c r="P93" s="251"/>
      <c r="Q93" s="251"/>
    </row>
    <row r="94" spans="1:17" ht="15">
      <c r="A94" s="253" t="s">
        <v>1428</v>
      </c>
      <c r="B94" s="251">
        <v>250</v>
      </c>
      <c r="C94" s="251">
        <v>310</v>
      </c>
      <c r="D94" s="251">
        <v>0</v>
      </c>
      <c r="E94" s="251">
        <v>90</v>
      </c>
      <c r="F94" s="251">
        <v>130</v>
      </c>
      <c r="G94" s="251">
        <f t="shared" si="2"/>
        <v>86.666666666666671</v>
      </c>
      <c r="H94" s="251">
        <v>20</v>
      </c>
      <c r="I94" s="251">
        <v>40</v>
      </c>
      <c r="J94" s="251">
        <v>40</v>
      </c>
      <c r="K94" s="254">
        <v>0.65</v>
      </c>
      <c r="L94" s="254">
        <v>0.19500000000000001</v>
      </c>
      <c r="M94" s="254">
        <v>0.66220000000000001</v>
      </c>
      <c r="N94" s="254">
        <v>4.1000000000000002E-2</v>
      </c>
      <c r="O94" s="251"/>
      <c r="P94" s="251"/>
      <c r="Q94" s="251"/>
    </row>
    <row r="95" spans="1:17" ht="15">
      <c r="A95" s="249" t="s">
        <v>1429</v>
      </c>
      <c r="B95" s="289">
        <v>80</v>
      </c>
      <c r="C95" s="289">
        <v>65</v>
      </c>
      <c r="D95" s="289">
        <v>0</v>
      </c>
      <c r="E95" s="289">
        <v>30</v>
      </c>
      <c r="F95" s="289">
        <v>0</v>
      </c>
      <c r="G95" s="289">
        <v>0</v>
      </c>
      <c r="H95" s="291">
        <v>10</v>
      </c>
      <c r="I95" s="291">
        <v>7</v>
      </c>
      <c r="J95" s="291">
        <v>7</v>
      </c>
      <c r="K95" s="290">
        <v>0.57999999999999996</v>
      </c>
      <c r="L95" s="290">
        <v>0.09</v>
      </c>
      <c r="M95" s="290">
        <v>0.5</v>
      </c>
      <c r="N95" s="290">
        <v>0.3</v>
      </c>
      <c r="O95" s="251"/>
      <c r="P95" s="251"/>
      <c r="Q95" s="251"/>
    </row>
    <row r="96" spans="1:17" ht="15">
      <c r="A96" s="253" t="s">
        <v>1430</v>
      </c>
      <c r="B96" s="251">
        <v>600</v>
      </c>
      <c r="C96" s="251">
        <v>250</v>
      </c>
      <c r="D96" s="251">
        <v>0</v>
      </c>
      <c r="E96" s="251">
        <v>60</v>
      </c>
      <c r="F96" s="251">
        <v>50</v>
      </c>
      <c r="G96" s="251">
        <f>F96*2/3</f>
        <v>33.333333333333336</v>
      </c>
      <c r="H96" s="251">
        <v>20</v>
      </c>
      <c r="I96" s="251">
        <v>20</v>
      </c>
      <c r="J96" s="251">
        <v>20</v>
      </c>
      <c r="K96" s="254">
        <v>0.28000000000000003</v>
      </c>
      <c r="L96" s="254">
        <v>0.115</v>
      </c>
      <c r="M96" s="254">
        <v>0.48160000000000003</v>
      </c>
      <c r="N96" s="254">
        <v>4.9739999999999993E-2</v>
      </c>
      <c r="O96" s="251"/>
      <c r="P96" s="251"/>
      <c r="Q96" s="251"/>
    </row>
    <row r="97" spans="1:17" ht="15">
      <c r="A97" s="253" t="s">
        <v>1431</v>
      </c>
      <c r="B97" s="251">
        <v>400</v>
      </c>
      <c r="C97" s="251">
        <v>170</v>
      </c>
      <c r="D97" s="251">
        <v>0</v>
      </c>
      <c r="E97" s="251">
        <v>60</v>
      </c>
      <c r="F97" s="251">
        <v>25</v>
      </c>
      <c r="G97" s="251">
        <v>16.666666666666668</v>
      </c>
      <c r="H97" s="251">
        <v>20</v>
      </c>
      <c r="I97" s="251">
        <v>20</v>
      </c>
      <c r="J97" s="251">
        <v>20</v>
      </c>
      <c r="K97" s="254">
        <v>0.28000000000000003</v>
      </c>
      <c r="L97" s="254">
        <v>0.115</v>
      </c>
      <c r="M97" s="254">
        <v>0.48160000000000003</v>
      </c>
      <c r="N97" s="254">
        <v>4.9739999999999993E-2</v>
      </c>
      <c r="O97" s="251"/>
      <c r="P97" s="251"/>
      <c r="Q97" s="251"/>
    </row>
    <row r="98" spans="1:17" ht="15">
      <c r="A98" s="253" t="s">
        <v>1432</v>
      </c>
      <c r="B98" s="251">
        <v>500</v>
      </c>
      <c r="C98" s="251">
        <v>160</v>
      </c>
      <c r="D98" s="251">
        <v>0</v>
      </c>
      <c r="E98" s="251">
        <v>60</v>
      </c>
      <c r="F98" s="251">
        <v>15</v>
      </c>
      <c r="G98" s="251">
        <v>10</v>
      </c>
      <c r="H98" s="251">
        <v>20</v>
      </c>
      <c r="I98" s="251">
        <v>20</v>
      </c>
      <c r="J98" s="251">
        <v>20</v>
      </c>
      <c r="K98" s="254">
        <v>0.27</v>
      </c>
      <c r="L98" s="254">
        <v>0.10299999999999999</v>
      </c>
      <c r="M98" s="254">
        <v>0.55000000000000004</v>
      </c>
      <c r="N98" s="254">
        <v>8.3000000000000004E-2</v>
      </c>
      <c r="O98" s="251"/>
      <c r="P98" s="251"/>
      <c r="Q98" s="251"/>
    </row>
    <row r="99" spans="1:17" ht="15">
      <c r="A99" s="253" t="s">
        <v>1433</v>
      </c>
      <c r="B99" s="251">
        <v>600</v>
      </c>
      <c r="C99" s="251">
        <v>260</v>
      </c>
      <c r="D99" s="251">
        <v>0</v>
      </c>
      <c r="E99" s="251">
        <v>60</v>
      </c>
      <c r="F99" s="251">
        <v>60</v>
      </c>
      <c r="G99" s="251">
        <f t="shared" ref="G99:G105" si="3">F99*2/3</f>
        <v>40</v>
      </c>
      <c r="H99" s="251">
        <v>20</v>
      </c>
      <c r="I99" s="251">
        <v>40</v>
      </c>
      <c r="J99" s="251">
        <v>40</v>
      </c>
      <c r="K99" s="254">
        <v>0.22</v>
      </c>
      <c r="L99" s="254">
        <v>0.08</v>
      </c>
      <c r="M99" s="254">
        <v>0.36119999999999997</v>
      </c>
      <c r="N99" s="254">
        <v>0.03</v>
      </c>
      <c r="O99" s="251"/>
      <c r="P99" s="251"/>
      <c r="Q99" s="251"/>
    </row>
    <row r="100" spans="1:17" ht="15">
      <c r="A100" s="253" t="s">
        <v>1434</v>
      </c>
      <c r="B100" s="251">
        <v>175</v>
      </c>
      <c r="C100" s="251">
        <v>150</v>
      </c>
      <c r="D100" s="251">
        <v>0</v>
      </c>
      <c r="E100" s="251">
        <v>30</v>
      </c>
      <c r="F100" s="251">
        <v>20</v>
      </c>
      <c r="G100" s="251">
        <f t="shared" si="3"/>
        <v>13.333333333333334</v>
      </c>
      <c r="H100" s="251">
        <v>20</v>
      </c>
      <c r="I100" s="251">
        <v>20</v>
      </c>
      <c r="J100" s="251">
        <v>20</v>
      </c>
      <c r="K100" s="254">
        <v>0.4</v>
      </c>
      <c r="L100" s="254">
        <v>0.10299999999999999</v>
      </c>
      <c r="M100" s="254">
        <v>0.52976000000000001</v>
      </c>
      <c r="N100" s="254">
        <v>4.9739999999999993E-2</v>
      </c>
      <c r="O100" s="251"/>
      <c r="P100" s="251"/>
      <c r="Q100" s="251"/>
    </row>
    <row r="101" spans="1:17" ht="15">
      <c r="A101" s="253" t="s">
        <v>1435</v>
      </c>
      <c r="B101" s="251">
        <v>300</v>
      </c>
      <c r="C101" s="251">
        <v>210</v>
      </c>
      <c r="D101" s="251">
        <v>0</v>
      </c>
      <c r="E101" s="251">
        <v>30</v>
      </c>
      <c r="F101" s="251">
        <v>20</v>
      </c>
      <c r="G101" s="251">
        <f t="shared" si="3"/>
        <v>13.333333333333334</v>
      </c>
      <c r="H101" s="251">
        <v>20</v>
      </c>
      <c r="I101" s="251">
        <v>20</v>
      </c>
      <c r="J101" s="251">
        <v>20</v>
      </c>
      <c r="K101" s="254">
        <v>0.4</v>
      </c>
      <c r="L101" s="254">
        <v>0.10299999999999999</v>
      </c>
      <c r="M101" s="254">
        <v>0.53</v>
      </c>
      <c r="N101" s="254">
        <v>0.05</v>
      </c>
      <c r="O101" s="251"/>
      <c r="P101" s="251"/>
      <c r="Q101" s="251"/>
    </row>
    <row r="102" spans="1:17" ht="15">
      <c r="A102" s="253" t="s">
        <v>1436</v>
      </c>
      <c r="B102" s="251">
        <v>140</v>
      </c>
      <c r="C102" s="251">
        <v>90</v>
      </c>
      <c r="D102" s="251">
        <v>0</v>
      </c>
      <c r="E102" s="251">
        <v>30</v>
      </c>
      <c r="F102" s="251">
        <v>0</v>
      </c>
      <c r="G102" s="251">
        <f t="shared" si="3"/>
        <v>0</v>
      </c>
      <c r="H102" s="251">
        <v>20</v>
      </c>
      <c r="I102" s="251">
        <v>20</v>
      </c>
      <c r="J102" s="251">
        <v>20</v>
      </c>
      <c r="K102" s="254">
        <v>0.35</v>
      </c>
      <c r="L102" s="254">
        <v>0.08</v>
      </c>
      <c r="M102" s="254">
        <v>0.60199999999999998</v>
      </c>
      <c r="N102" s="254">
        <v>4.4999999999999998E-2</v>
      </c>
      <c r="O102" s="251"/>
      <c r="P102" s="251"/>
      <c r="Q102" s="251"/>
    </row>
    <row r="103" spans="1:17" ht="15">
      <c r="A103" s="253" t="s">
        <v>1437</v>
      </c>
      <c r="B103" s="251">
        <v>350</v>
      </c>
      <c r="C103" s="251">
        <v>130</v>
      </c>
      <c r="D103" s="251">
        <v>0</v>
      </c>
      <c r="E103" s="251">
        <v>30</v>
      </c>
      <c r="F103" s="251">
        <v>10</v>
      </c>
      <c r="G103" s="251">
        <f t="shared" si="3"/>
        <v>6.666666666666667</v>
      </c>
      <c r="H103" s="251">
        <v>20</v>
      </c>
      <c r="I103" s="251">
        <v>20</v>
      </c>
      <c r="J103" s="251">
        <v>20</v>
      </c>
      <c r="K103" s="254">
        <v>0.19</v>
      </c>
      <c r="L103" s="254">
        <v>6.9000000000000006E-2</v>
      </c>
      <c r="M103" s="254">
        <v>0.44547999999999999</v>
      </c>
      <c r="N103" s="254">
        <v>1.6580000000000001E-2</v>
      </c>
      <c r="O103" s="251"/>
      <c r="P103" s="251"/>
      <c r="Q103" s="251"/>
    </row>
    <row r="104" spans="1:17" ht="15">
      <c r="A104" s="253" t="s">
        <v>1438</v>
      </c>
      <c r="B104" s="251">
        <v>300</v>
      </c>
      <c r="C104" s="251">
        <v>115</v>
      </c>
      <c r="D104" s="251">
        <v>0</v>
      </c>
      <c r="E104" s="251">
        <v>30</v>
      </c>
      <c r="F104" s="251">
        <v>10</v>
      </c>
      <c r="G104" s="251">
        <f t="shared" si="3"/>
        <v>6.666666666666667</v>
      </c>
      <c r="H104" s="251">
        <v>20</v>
      </c>
      <c r="I104" s="251">
        <v>20</v>
      </c>
      <c r="J104" s="251">
        <v>20</v>
      </c>
      <c r="K104" s="254">
        <v>0.19</v>
      </c>
      <c r="L104" s="254">
        <v>6.9000000000000006E-2</v>
      </c>
      <c r="M104" s="254">
        <v>0.44547999999999999</v>
      </c>
      <c r="N104" s="254">
        <v>0.02</v>
      </c>
      <c r="O104" s="251"/>
      <c r="P104" s="251"/>
      <c r="Q104" s="251"/>
    </row>
    <row r="105" spans="1:17" ht="15">
      <c r="A105" s="253" t="s">
        <v>1439</v>
      </c>
      <c r="B105" s="251">
        <v>600</v>
      </c>
      <c r="C105" s="251">
        <v>175</v>
      </c>
      <c r="D105" s="251">
        <v>0</v>
      </c>
      <c r="E105" s="251">
        <v>30</v>
      </c>
      <c r="F105" s="251">
        <v>15</v>
      </c>
      <c r="G105" s="251">
        <f t="shared" si="3"/>
        <v>10</v>
      </c>
      <c r="H105" s="251">
        <v>20</v>
      </c>
      <c r="I105" s="251">
        <v>20</v>
      </c>
      <c r="J105" s="251">
        <v>20</v>
      </c>
      <c r="K105" s="254">
        <v>0.14000000000000001</v>
      </c>
      <c r="L105" s="254">
        <v>5.7000000000000002E-2</v>
      </c>
      <c r="M105" s="254">
        <v>0.3</v>
      </c>
      <c r="N105" s="254">
        <v>1.7000000000000001E-2</v>
      </c>
      <c r="O105" s="251"/>
      <c r="P105" s="251"/>
      <c r="Q105" s="251"/>
    </row>
    <row r="106" spans="1:17" ht="15">
      <c r="A106" s="253" t="s">
        <v>1440</v>
      </c>
      <c r="B106" s="251">
        <v>600</v>
      </c>
      <c r="C106" s="251">
        <v>200</v>
      </c>
      <c r="D106" s="251">
        <v>0</v>
      </c>
      <c r="E106" s="251">
        <v>30</v>
      </c>
      <c r="F106" s="251">
        <v>40</v>
      </c>
      <c r="G106" s="251">
        <v>26.666666666666668</v>
      </c>
      <c r="H106" s="251">
        <v>20</v>
      </c>
      <c r="I106" s="251">
        <v>20</v>
      </c>
      <c r="J106" s="251">
        <v>20</v>
      </c>
      <c r="K106" s="254">
        <v>0.2</v>
      </c>
      <c r="L106" s="254">
        <v>9.1999999999999998E-2</v>
      </c>
      <c r="M106" s="254">
        <v>0.4</v>
      </c>
      <c r="N106" s="254">
        <v>2.1999999999999999E-2</v>
      </c>
      <c r="O106" s="251"/>
      <c r="P106" s="251"/>
      <c r="Q106" s="251"/>
    </row>
    <row r="107" spans="1:17" ht="15">
      <c r="A107" s="253" t="s">
        <v>1441</v>
      </c>
      <c r="B107" s="251">
        <v>350</v>
      </c>
      <c r="C107" s="251">
        <v>150</v>
      </c>
      <c r="D107" s="251">
        <v>0</v>
      </c>
      <c r="E107" s="251">
        <v>60</v>
      </c>
      <c r="F107" s="251">
        <v>15</v>
      </c>
      <c r="G107" s="251">
        <f t="shared" ref="G107:G114" si="4">F107*2/3</f>
        <v>10</v>
      </c>
      <c r="H107" s="251">
        <v>20</v>
      </c>
      <c r="I107" s="251">
        <v>20</v>
      </c>
      <c r="J107" s="251">
        <v>20</v>
      </c>
      <c r="K107" s="254">
        <v>0.25</v>
      </c>
      <c r="L107" s="254">
        <v>0.06</v>
      </c>
      <c r="M107" s="254">
        <v>0.55000000000000004</v>
      </c>
      <c r="N107" s="254">
        <v>0.03</v>
      </c>
      <c r="O107" s="251"/>
      <c r="P107" s="251"/>
      <c r="Q107" s="251"/>
    </row>
    <row r="108" spans="1:17" ht="15">
      <c r="A108" s="253" t="s">
        <v>1442</v>
      </c>
      <c r="B108" s="251">
        <v>600</v>
      </c>
      <c r="C108" s="251">
        <v>190</v>
      </c>
      <c r="D108" s="251">
        <v>0</v>
      </c>
      <c r="E108" s="251">
        <v>60</v>
      </c>
      <c r="F108" s="251">
        <v>20</v>
      </c>
      <c r="G108" s="251">
        <f t="shared" si="4"/>
        <v>13.333333333333334</v>
      </c>
      <c r="H108" s="251">
        <v>20</v>
      </c>
      <c r="I108" s="251">
        <v>20</v>
      </c>
      <c r="J108" s="251">
        <v>20</v>
      </c>
      <c r="K108" s="254">
        <v>0.2</v>
      </c>
      <c r="L108" s="254">
        <v>0.06</v>
      </c>
      <c r="M108" s="254">
        <v>0.55000000000000004</v>
      </c>
      <c r="N108" s="254">
        <v>0.03</v>
      </c>
      <c r="O108" s="251"/>
      <c r="P108" s="251"/>
      <c r="Q108" s="251"/>
    </row>
    <row r="109" spans="1:17" ht="15">
      <c r="A109" s="253" t="s">
        <v>1443</v>
      </c>
      <c r="B109" s="251">
        <v>500</v>
      </c>
      <c r="C109" s="251">
        <v>150</v>
      </c>
      <c r="D109" s="251">
        <v>0</v>
      </c>
      <c r="E109" s="251">
        <v>30</v>
      </c>
      <c r="F109" s="251">
        <v>10</v>
      </c>
      <c r="G109" s="251">
        <f t="shared" si="4"/>
        <v>6.666666666666667</v>
      </c>
      <c r="H109" s="251">
        <v>20</v>
      </c>
      <c r="I109" s="251">
        <v>20</v>
      </c>
      <c r="J109" s="251">
        <v>20</v>
      </c>
      <c r="K109" s="254">
        <v>0.18</v>
      </c>
      <c r="L109" s="254">
        <v>6.9000000000000006E-2</v>
      </c>
      <c r="M109" s="254">
        <v>0.36119999999999997</v>
      </c>
      <c r="N109" s="254">
        <v>2.5000000000000001E-2</v>
      </c>
      <c r="O109" s="251"/>
      <c r="P109" s="251"/>
      <c r="Q109" s="251"/>
    </row>
    <row r="110" spans="1:17" ht="15">
      <c r="A110" s="253" t="s">
        <v>1444</v>
      </c>
      <c r="B110" s="251">
        <v>280</v>
      </c>
      <c r="C110" s="251">
        <v>140</v>
      </c>
      <c r="D110" s="251">
        <v>0</v>
      </c>
      <c r="E110" s="251">
        <v>60</v>
      </c>
      <c r="F110" s="251">
        <v>30</v>
      </c>
      <c r="G110" s="251">
        <f t="shared" si="4"/>
        <v>20</v>
      </c>
      <c r="H110" s="251">
        <v>20</v>
      </c>
      <c r="I110" s="251">
        <v>20</v>
      </c>
      <c r="J110" s="251">
        <v>20</v>
      </c>
      <c r="K110" s="254">
        <v>0.25</v>
      </c>
      <c r="L110" s="254">
        <v>9.1999999999999998E-2</v>
      </c>
      <c r="M110" s="254">
        <v>0.48</v>
      </c>
      <c r="N110" s="254">
        <v>3.3000000000000002E-2</v>
      </c>
      <c r="O110" s="251"/>
      <c r="P110" s="251"/>
      <c r="Q110" s="251"/>
    </row>
    <row r="111" spans="1:17" ht="15">
      <c r="A111" s="253" t="s">
        <v>1445</v>
      </c>
      <c r="B111" s="251">
        <v>450</v>
      </c>
      <c r="C111" s="251">
        <v>140</v>
      </c>
      <c r="D111" s="251">
        <v>0</v>
      </c>
      <c r="E111" s="251">
        <v>60</v>
      </c>
      <c r="F111" s="251">
        <v>10</v>
      </c>
      <c r="G111" s="251">
        <f t="shared" si="4"/>
        <v>6.666666666666667</v>
      </c>
      <c r="H111" s="251">
        <v>20</v>
      </c>
      <c r="I111" s="251">
        <v>20</v>
      </c>
      <c r="J111" s="251">
        <v>20</v>
      </c>
      <c r="K111" s="254">
        <v>0.2</v>
      </c>
      <c r="L111" s="254">
        <v>9.1999999999999998E-2</v>
      </c>
      <c r="M111" s="254">
        <v>0.4</v>
      </c>
      <c r="N111" s="254">
        <v>2.1999999999999999E-2</v>
      </c>
      <c r="O111" s="251"/>
      <c r="P111" s="251"/>
      <c r="Q111" s="251"/>
    </row>
    <row r="112" spans="1:17" ht="15">
      <c r="A112" s="253" t="s">
        <v>1446</v>
      </c>
      <c r="B112" s="251">
        <v>300</v>
      </c>
      <c r="C112" s="251">
        <v>150</v>
      </c>
      <c r="D112" s="251">
        <v>0</v>
      </c>
      <c r="E112" s="251">
        <v>30</v>
      </c>
      <c r="F112" s="251">
        <v>15</v>
      </c>
      <c r="G112" s="251">
        <f t="shared" si="4"/>
        <v>10</v>
      </c>
      <c r="H112" s="251">
        <v>20</v>
      </c>
      <c r="I112" s="251">
        <v>20</v>
      </c>
      <c r="J112" s="251">
        <v>20</v>
      </c>
      <c r="K112" s="254">
        <v>0.24</v>
      </c>
      <c r="L112" s="254">
        <v>9.1999999999999998E-2</v>
      </c>
      <c r="M112" s="254">
        <v>0.4</v>
      </c>
      <c r="N112" s="254">
        <v>2.1999999999999999E-2</v>
      </c>
      <c r="O112" s="251"/>
      <c r="P112" s="251"/>
      <c r="Q112" s="251"/>
    </row>
    <row r="113" spans="1:17" ht="15">
      <c r="A113" s="253" t="s">
        <v>1447</v>
      </c>
      <c r="B113" s="251">
        <v>450</v>
      </c>
      <c r="C113" s="251">
        <v>150</v>
      </c>
      <c r="D113" s="251">
        <v>0</v>
      </c>
      <c r="E113" s="251">
        <v>30</v>
      </c>
      <c r="F113" s="251">
        <v>10</v>
      </c>
      <c r="G113" s="251">
        <f t="shared" si="4"/>
        <v>6.666666666666667</v>
      </c>
      <c r="H113" s="251">
        <v>20</v>
      </c>
      <c r="I113" s="251">
        <v>20</v>
      </c>
      <c r="J113" s="251">
        <v>20</v>
      </c>
      <c r="K113" s="254">
        <v>0.19</v>
      </c>
      <c r="L113" s="254">
        <v>9.1999999999999998E-2</v>
      </c>
      <c r="M113" s="254">
        <v>0.4</v>
      </c>
      <c r="N113" s="254">
        <v>2.5000000000000001E-2</v>
      </c>
      <c r="O113" s="251"/>
      <c r="P113" s="251"/>
      <c r="Q113" s="251"/>
    </row>
    <row r="114" spans="1:17" ht="15">
      <c r="A114" s="253" t="s">
        <v>1448</v>
      </c>
      <c r="B114" s="251">
        <v>600</v>
      </c>
      <c r="C114" s="251">
        <v>190</v>
      </c>
      <c r="D114" s="251">
        <v>0</v>
      </c>
      <c r="E114" s="251">
        <v>60</v>
      </c>
      <c r="F114" s="251">
        <v>20</v>
      </c>
      <c r="G114" s="251">
        <f t="shared" si="4"/>
        <v>13.333333333333334</v>
      </c>
      <c r="H114" s="251">
        <v>20</v>
      </c>
      <c r="I114" s="251">
        <v>20</v>
      </c>
      <c r="J114" s="251">
        <v>20</v>
      </c>
      <c r="K114" s="254">
        <v>0.2</v>
      </c>
      <c r="L114" s="254">
        <v>0.115</v>
      </c>
      <c r="M114" s="254">
        <v>0.30099999999999999</v>
      </c>
      <c r="N114" s="254">
        <v>1.6580000000000001E-2</v>
      </c>
      <c r="O114" s="251"/>
      <c r="P114" s="251"/>
      <c r="Q114" s="251"/>
    </row>
    <row r="115" spans="1:17" ht="15">
      <c r="A115" s="249" t="s">
        <v>1588</v>
      </c>
      <c r="B115" s="289">
        <v>350</v>
      </c>
      <c r="C115" s="289">
        <v>210</v>
      </c>
      <c r="D115" s="289">
        <v>0</v>
      </c>
      <c r="E115" s="289">
        <v>60</v>
      </c>
      <c r="F115" s="289">
        <v>0</v>
      </c>
      <c r="G115" s="289">
        <v>0</v>
      </c>
      <c r="H115" s="291">
        <v>10</v>
      </c>
      <c r="I115" s="291">
        <v>21</v>
      </c>
      <c r="J115" s="291">
        <v>21</v>
      </c>
      <c r="K115" s="290">
        <v>0.49</v>
      </c>
      <c r="L115" s="290">
        <v>0.11</v>
      </c>
      <c r="M115" s="290">
        <v>0.62</v>
      </c>
      <c r="N115" s="290">
        <v>0.13</v>
      </c>
      <c r="O115" s="251"/>
      <c r="P115" s="251"/>
      <c r="Q115" s="251"/>
    </row>
    <row r="116" spans="1:17" ht="15">
      <c r="A116" s="249" t="s">
        <v>1449</v>
      </c>
      <c r="B116" s="289">
        <v>300</v>
      </c>
      <c r="C116" s="289">
        <v>130</v>
      </c>
      <c r="D116" s="289">
        <v>0</v>
      </c>
      <c r="E116" s="289">
        <v>60</v>
      </c>
      <c r="F116" s="289">
        <v>0</v>
      </c>
      <c r="G116" s="289">
        <v>0</v>
      </c>
      <c r="H116" s="291">
        <v>10</v>
      </c>
      <c r="I116" s="291">
        <v>13</v>
      </c>
      <c r="J116" s="291">
        <v>13</v>
      </c>
      <c r="K116" s="290">
        <v>0.37</v>
      </c>
      <c r="L116" s="290">
        <v>0.08</v>
      </c>
      <c r="M116" s="290">
        <v>0.66</v>
      </c>
      <c r="N116" s="290">
        <v>7.0000000000000007E-2</v>
      </c>
      <c r="O116" s="251"/>
      <c r="P116" s="251"/>
      <c r="Q116" s="251"/>
    </row>
    <row r="117" spans="1:17" ht="15">
      <c r="A117" s="253" t="s">
        <v>1589</v>
      </c>
      <c r="B117" s="289">
        <v>200</v>
      </c>
      <c r="C117" s="289">
        <v>145</v>
      </c>
      <c r="D117" s="289">
        <v>0</v>
      </c>
      <c r="E117" s="294">
        <v>60</v>
      </c>
      <c r="F117" s="294">
        <v>0</v>
      </c>
      <c r="G117" s="294">
        <v>0</v>
      </c>
      <c r="H117" s="291">
        <v>10</v>
      </c>
      <c r="I117" s="291">
        <v>7</v>
      </c>
      <c r="J117" s="291">
        <v>7</v>
      </c>
      <c r="K117" s="290">
        <v>0.43</v>
      </c>
      <c r="L117" s="290">
        <v>0.09</v>
      </c>
      <c r="M117" s="290">
        <v>0.41</v>
      </c>
      <c r="N117" s="290">
        <v>0.09</v>
      </c>
      <c r="O117" s="251"/>
      <c r="P117" s="251"/>
      <c r="Q117" s="251"/>
    </row>
    <row r="118" spans="1:17" ht="15">
      <c r="A118" s="253" t="s">
        <v>1451</v>
      </c>
      <c r="B118" s="251">
        <v>280</v>
      </c>
      <c r="C118" s="251">
        <v>240</v>
      </c>
      <c r="D118" s="251">
        <v>6</v>
      </c>
      <c r="E118" s="251">
        <v>60</v>
      </c>
      <c r="F118" s="251">
        <v>55</v>
      </c>
      <c r="G118" s="251">
        <f>F118*2/3</f>
        <v>36.666666666666664</v>
      </c>
      <c r="H118" s="251">
        <v>20</v>
      </c>
      <c r="I118" s="251">
        <v>20</v>
      </c>
      <c r="J118" s="251">
        <v>20</v>
      </c>
      <c r="K118" s="254">
        <v>0.5</v>
      </c>
      <c r="L118" s="254">
        <v>0.13700000000000001</v>
      </c>
      <c r="M118" s="254">
        <v>0.54</v>
      </c>
      <c r="N118" s="254">
        <v>5.8000000000000003E-2</v>
      </c>
      <c r="O118" s="251"/>
      <c r="P118" s="251"/>
      <c r="Q118" s="251"/>
    </row>
    <row r="119" spans="1:17" ht="15">
      <c r="A119" s="253" t="s">
        <v>1452</v>
      </c>
      <c r="B119" s="251">
        <v>300</v>
      </c>
      <c r="C119" s="251">
        <v>210</v>
      </c>
      <c r="D119" s="251">
        <v>6</v>
      </c>
      <c r="E119" s="251">
        <v>60</v>
      </c>
      <c r="F119" s="251">
        <v>10</v>
      </c>
      <c r="G119" s="251">
        <f>F119*2/3</f>
        <v>6.666666666666667</v>
      </c>
      <c r="H119" s="251">
        <v>20</v>
      </c>
      <c r="I119" s="251">
        <v>20</v>
      </c>
      <c r="J119" s="251">
        <v>20</v>
      </c>
      <c r="K119" s="254">
        <v>0.5</v>
      </c>
      <c r="L119" s="254">
        <v>0.13700000000000001</v>
      </c>
      <c r="M119" s="254">
        <v>0.54179999999999995</v>
      </c>
      <c r="N119" s="254">
        <v>5.8000000000000003E-2</v>
      </c>
      <c r="O119" s="251"/>
      <c r="P119" s="251"/>
      <c r="Q119" s="251"/>
    </row>
    <row r="120" spans="1:17" ht="15">
      <c r="A120" s="253" t="s">
        <v>1453</v>
      </c>
      <c r="B120" s="251">
        <v>200</v>
      </c>
      <c r="C120" s="251">
        <v>180</v>
      </c>
      <c r="D120" s="251">
        <v>0</v>
      </c>
      <c r="E120" s="251">
        <v>60</v>
      </c>
      <c r="F120" s="251">
        <v>25</v>
      </c>
      <c r="G120" s="251">
        <f>F120*2/3</f>
        <v>16.666666666666668</v>
      </c>
      <c r="H120" s="251">
        <v>20</v>
      </c>
      <c r="I120" s="251">
        <v>20</v>
      </c>
      <c r="J120" s="251">
        <v>20</v>
      </c>
      <c r="K120" s="254">
        <v>0.5</v>
      </c>
      <c r="L120" s="254">
        <v>0.13700000000000001</v>
      </c>
      <c r="M120" s="254">
        <v>0.54179999999999995</v>
      </c>
      <c r="N120" s="254">
        <v>5.8000000000000003E-2</v>
      </c>
      <c r="O120" s="251"/>
      <c r="P120" s="251"/>
      <c r="Q120" s="251"/>
    </row>
    <row r="121" spans="1:17" ht="15">
      <c r="A121" s="289" t="s">
        <v>1683</v>
      </c>
      <c r="B121" s="289">
        <v>500</v>
      </c>
      <c r="C121" s="289">
        <v>310</v>
      </c>
      <c r="D121" s="289">
        <v>0</v>
      </c>
      <c r="E121" s="289">
        <v>60</v>
      </c>
      <c r="F121" s="289">
        <v>0</v>
      </c>
      <c r="G121" s="289">
        <v>0</v>
      </c>
      <c r="H121" s="291">
        <v>10</v>
      </c>
      <c r="I121" s="291">
        <v>31</v>
      </c>
      <c r="J121" s="291">
        <v>31</v>
      </c>
      <c r="K121" s="290">
        <v>0.5</v>
      </c>
      <c r="L121" s="290">
        <v>0.13700000000000001</v>
      </c>
      <c r="M121" s="290">
        <v>0.52</v>
      </c>
      <c r="N121" s="290">
        <v>7.0000000000000007E-2</v>
      </c>
      <c r="O121" s="251"/>
      <c r="P121" s="251"/>
      <c r="Q121" s="251"/>
    </row>
    <row r="122" spans="1:17" ht="15">
      <c r="A122" s="253" t="s">
        <v>1454</v>
      </c>
      <c r="B122" s="251">
        <v>200</v>
      </c>
      <c r="C122" s="251">
        <v>75</v>
      </c>
      <c r="D122" s="251">
        <v>6</v>
      </c>
      <c r="E122" s="251">
        <v>90</v>
      </c>
      <c r="F122" s="251">
        <v>25</v>
      </c>
      <c r="G122" s="251">
        <f>F122*2/3</f>
        <v>16.666666666666668</v>
      </c>
      <c r="H122" s="251">
        <v>20</v>
      </c>
      <c r="I122" s="251">
        <v>20</v>
      </c>
      <c r="J122" s="251">
        <v>20</v>
      </c>
      <c r="K122" s="254">
        <v>0.23</v>
      </c>
      <c r="L122" s="254">
        <v>0.16</v>
      </c>
      <c r="M122" s="254">
        <v>0.38500000000000001</v>
      </c>
      <c r="N122" s="254">
        <v>4.1000000000000002E-2</v>
      </c>
      <c r="O122" s="251"/>
      <c r="P122" s="251"/>
      <c r="Q122" s="251"/>
    </row>
    <row r="123" spans="1:17" ht="15">
      <c r="A123" s="253" t="s">
        <v>1455</v>
      </c>
      <c r="B123" s="251">
        <v>600</v>
      </c>
      <c r="C123" s="251">
        <v>205</v>
      </c>
      <c r="D123" s="251">
        <v>0</v>
      </c>
      <c r="E123" s="251">
        <v>30</v>
      </c>
      <c r="F123" s="251">
        <v>10</v>
      </c>
      <c r="G123" s="251">
        <f>F123*2/3</f>
        <v>6.666666666666667</v>
      </c>
      <c r="H123" s="251">
        <v>20</v>
      </c>
      <c r="I123" s="251">
        <v>20</v>
      </c>
      <c r="J123" s="251">
        <v>20</v>
      </c>
      <c r="K123" s="254">
        <v>0.27</v>
      </c>
      <c r="L123" s="254">
        <v>0.126</v>
      </c>
      <c r="M123" s="254">
        <v>0.56999999999999995</v>
      </c>
      <c r="N123" s="254">
        <v>3.3000000000000002E-2</v>
      </c>
      <c r="O123" s="251"/>
      <c r="P123" s="251"/>
      <c r="Q123" s="251"/>
    </row>
    <row r="124" spans="1:17" ht="15">
      <c r="A124" s="253" t="s">
        <v>1456</v>
      </c>
      <c r="B124" s="251">
        <v>650</v>
      </c>
      <c r="C124" s="251">
        <v>220</v>
      </c>
      <c r="D124" s="251">
        <v>0</v>
      </c>
      <c r="E124" s="251">
        <v>60</v>
      </c>
      <c r="F124" s="251">
        <v>40</v>
      </c>
      <c r="G124" s="251">
        <f>F124*2/3</f>
        <v>26.666666666666668</v>
      </c>
      <c r="H124" s="251">
        <v>20</v>
      </c>
      <c r="I124" s="251">
        <v>40</v>
      </c>
      <c r="J124" s="251">
        <v>40</v>
      </c>
      <c r="K124" s="254">
        <v>0.25</v>
      </c>
      <c r="L124" s="254">
        <v>0.14899999999999999</v>
      </c>
      <c r="M124" s="254">
        <v>0.54179999999999995</v>
      </c>
      <c r="N124" s="254">
        <v>2.5000000000000001E-2</v>
      </c>
      <c r="O124" s="251"/>
      <c r="P124" s="251"/>
      <c r="Q124" s="251"/>
    </row>
    <row r="125" spans="1:17" ht="15">
      <c r="A125" s="253" t="s">
        <v>1590</v>
      </c>
      <c r="B125" s="294">
        <v>550</v>
      </c>
      <c r="C125" s="294">
        <v>245</v>
      </c>
      <c r="D125" s="289">
        <v>0</v>
      </c>
      <c r="E125" s="294">
        <v>60</v>
      </c>
      <c r="F125" s="294">
        <v>0</v>
      </c>
      <c r="G125" s="294">
        <v>0</v>
      </c>
      <c r="H125" s="291">
        <v>10</v>
      </c>
      <c r="I125" s="291">
        <v>25</v>
      </c>
      <c r="J125" s="291">
        <v>25</v>
      </c>
      <c r="K125" s="290">
        <v>0.37</v>
      </c>
      <c r="L125" s="290">
        <v>0.11</v>
      </c>
      <c r="M125" s="290">
        <v>0.5</v>
      </c>
      <c r="N125" s="290">
        <v>0.06</v>
      </c>
      <c r="O125" s="251"/>
      <c r="P125" s="251"/>
      <c r="Q125" s="251"/>
    </row>
    <row r="126" spans="1:17" ht="15">
      <c r="A126" s="253" t="s">
        <v>1458</v>
      </c>
      <c r="B126" s="251">
        <v>500</v>
      </c>
      <c r="C126" s="251">
        <v>230</v>
      </c>
      <c r="D126" s="251">
        <v>0</v>
      </c>
      <c r="E126" s="251">
        <v>30</v>
      </c>
      <c r="F126" s="251">
        <v>40</v>
      </c>
      <c r="G126" s="251">
        <f t="shared" ref="G126:G138" si="5">F126*2/3</f>
        <v>26.666666666666668</v>
      </c>
      <c r="H126" s="251">
        <v>20</v>
      </c>
      <c r="I126" s="251">
        <v>20</v>
      </c>
      <c r="J126" s="251">
        <v>20</v>
      </c>
      <c r="K126" s="254">
        <v>0.25</v>
      </c>
      <c r="L126" s="254">
        <v>0.115</v>
      </c>
      <c r="M126" s="254">
        <v>0.54179999999999995</v>
      </c>
      <c r="N126" s="254">
        <v>0.05</v>
      </c>
      <c r="O126" s="251"/>
      <c r="P126" s="251"/>
      <c r="Q126" s="251"/>
    </row>
    <row r="127" spans="1:17" ht="15">
      <c r="A127" s="253" t="s">
        <v>1459</v>
      </c>
      <c r="B127" s="251">
        <v>0</v>
      </c>
      <c r="C127" s="251">
        <v>140</v>
      </c>
      <c r="D127" s="251">
        <v>0</v>
      </c>
      <c r="E127" s="251">
        <v>60</v>
      </c>
      <c r="F127" s="251"/>
      <c r="G127" s="251">
        <f t="shared" si="5"/>
        <v>0</v>
      </c>
      <c r="H127" s="251">
        <v>20</v>
      </c>
      <c r="I127" s="251">
        <v>20</v>
      </c>
      <c r="J127" s="251">
        <v>20</v>
      </c>
      <c r="K127" s="254">
        <v>0.26</v>
      </c>
      <c r="L127" s="254">
        <v>8.2000000000000003E-2</v>
      </c>
      <c r="M127" s="254">
        <v>0.24</v>
      </c>
      <c r="N127" s="254">
        <v>1.7999999999999999E-2</v>
      </c>
      <c r="O127" s="251">
        <v>78</v>
      </c>
      <c r="P127" s="251">
        <v>112.2</v>
      </c>
      <c r="Q127" s="251">
        <v>12</v>
      </c>
    </row>
    <row r="128" spans="1:17" ht="15">
      <c r="A128" s="253" t="s">
        <v>1460</v>
      </c>
      <c r="B128" s="251">
        <v>20</v>
      </c>
      <c r="C128" s="251">
        <v>160</v>
      </c>
      <c r="D128" s="251">
        <v>0</v>
      </c>
      <c r="E128" s="251">
        <v>90</v>
      </c>
      <c r="F128" s="251"/>
      <c r="G128" s="251">
        <f t="shared" si="5"/>
        <v>0</v>
      </c>
      <c r="H128" s="251">
        <v>20</v>
      </c>
      <c r="I128" s="251">
        <v>20</v>
      </c>
      <c r="J128" s="251">
        <v>20</v>
      </c>
      <c r="K128" s="254">
        <v>0.26</v>
      </c>
      <c r="L128" s="254">
        <v>8.2000000000000003E-2</v>
      </c>
      <c r="M128" s="254">
        <v>0.24</v>
      </c>
      <c r="N128" s="254">
        <v>1.7999999999999999E-2</v>
      </c>
      <c r="O128" s="251">
        <v>78</v>
      </c>
      <c r="P128" s="251">
        <v>184.2</v>
      </c>
      <c r="Q128" s="251">
        <v>19.7</v>
      </c>
    </row>
    <row r="129" spans="1:17" ht="15">
      <c r="A129" s="253" t="s">
        <v>1461</v>
      </c>
      <c r="B129" s="251">
        <v>0</v>
      </c>
      <c r="C129" s="251">
        <v>160</v>
      </c>
      <c r="D129" s="251">
        <v>0</v>
      </c>
      <c r="E129" s="251">
        <v>90</v>
      </c>
      <c r="F129" s="251"/>
      <c r="G129" s="251">
        <f t="shared" si="5"/>
        <v>0</v>
      </c>
      <c r="H129" s="251">
        <v>20</v>
      </c>
      <c r="I129" s="251">
        <v>20</v>
      </c>
      <c r="J129" s="251">
        <v>20</v>
      </c>
      <c r="K129" s="254">
        <v>0.26</v>
      </c>
      <c r="L129" s="254">
        <v>8.2000000000000003E-2</v>
      </c>
      <c r="M129" s="254">
        <v>0.24</v>
      </c>
      <c r="N129" s="254">
        <v>1.7999999999999999E-2</v>
      </c>
      <c r="O129" s="251">
        <v>78</v>
      </c>
      <c r="P129" s="251">
        <v>184.2</v>
      </c>
      <c r="Q129" s="251">
        <v>19.7</v>
      </c>
    </row>
    <row r="130" spans="1:17" ht="15">
      <c r="A130" s="253" t="s">
        <v>1462</v>
      </c>
      <c r="B130" s="251">
        <v>80</v>
      </c>
      <c r="C130" s="251">
        <v>160</v>
      </c>
      <c r="D130" s="251">
        <v>0</v>
      </c>
      <c r="E130" s="251">
        <v>90</v>
      </c>
      <c r="F130" s="251"/>
      <c r="G130" s="251">
        <f t="shared" si="5"/>
        <v>0</v>
      </c>
      <c r="H130" s="251">
        <v>20</v>
      </c>
      <c r="I130" s="251">
        <v>20</v>
      </c>
      <c r="J130" s="251">
        <v>20</v>
      </c>
      <c r="K130" s="254">
        <v>0.26</v>
      </c>
      <c r="L130" s="254">
        <v>8.2000000000000003E-2</v>
      </c>
      <c r="M130" s="254">
        <v>0.24</v>
      </c>
      <c r="N130" s="254">
        <v>1.7999999999999999E-2</v>
      </c>
      <c r="O130" s="251"/>
      <c r="P130" s="251">
        <v>169.8</v>
      </c>
      <c r="Q130" s="251">
        <v>18.7</v>
      </c>
    </row>
    <row r="131" spans="1:17" ht="15">
      <c r="A131" s="253" t="s">
        <v>1463</v>
      </c>
      <c r="B131" s="251">
        <v>100</v>
      </c>
      <c r="C131" s="251">
        <v>80</v>
      </c>
      <c r="D131" s="251">
        <v>0</v>
      </c>
      <c r="E131" s="251">
        <v>90</v>
      </c>
      <c r="F131" s="251"/>
      <c r="G131" s="251">
        <f t="shared" si="5"/>
        <v>0</v>
      </c>
      <c r="H131" s="251">
        <v>20</v>
      </c>
      <c r="I131" s="251">
        <v>20</v>
      </c>
      <c r="J131" s="251">
        <v>20</v>
      </c>
      <c r="K131" s="254">
        <v>0.26</v>
      </c>
      <c r="L131" s="254">
        <v>8.2000000000000003E-2</v>
      </c>
      <c r="M131" s="254">
        <v>0.24</v>
      </c>
      <c r="N131" s="254">
        <v>1.7999999999999999E-2</v>
      </c>
      <c r="O131" s="251"/>
      <c r="P131" s="251">
        <v>42</v>
      </c>
      <c r="Q131" s="251">
        <v>8.1999999999999993</v>
      </c>
    </row>
    <row r="132" spans="1:17" ht="15">
      <c r="A132" s="253" t="s">
        <v>2120</v>
      </c>
      <c r="B132" s="251">
        <v>650</v>
      </c>
      <c r="C132" s="251">
        <v>170</v>
      </c>
      <c r="D132" s="251">
        <v>0</v>
      </c>
      <c r="E132" s="251">
        <v>30</v>
      </c>
      <c r="F132" s="251">
        <v>15</v>
      </c>
      <c r="G132" s="251">
        <f t="shared" si="5"/>
        <v>10</v>
      </c>
      <c r="H132" s="251">
        <v>20</v>
      </c>
      <c r="I132" s="251">
        <v>20</v>
      </c>
      <c r="J132" s="251">
        <v>20</v>
      </c>
      <c r="K132" s="254">
        <v>0.17</v>
      </c>
      <c r="L132" s="254">
        <v>0.10299999999999999</v>
      </c>
      <c r="M132" s="254">
        <v>0.4214</v>
      </c>
      <c r="N132" s="254">
        <v>3.5999999999999997E-2</v>
      </c>
      <c r="O132" s="251"/>
      <c r="P132" s="251"/>
      <c r="Q132" s="251"/>
    </row>
    <row r="133" spans="1:17" ht="15">
      <c r="A133" s="253" t="s">
        <v>2121</v>
      </c>
      <c r="B133" s="251">
        <v>150</v>
      </c>
      <c r="C133" s="251">
        <v>110</v>
      </c>
      <c r="D133" s="251">
        <v>0</v>
      </c>
      <c r="E133" s="251">
        <v>60</v>
      </c>
      <c r="F133" s="251">
        <v>30</v>
      </c>
      <c r="G133" s="251">
        <f t="shared" si="5"/>
        <v>20</v>
      </c>
      <c r="H133" s="251">
        <v>20</v>
      </c>
      <c r="I133" s="251">
        <v>20</v>
      </c>
      <c r="J133" s="251">
        <v>20</v>
      </c>
      <c r="K133" s="254">
        <v>0.45</v>
      </c>
      <c r="L133" s="254">
        <v>0.24099999999999999</v>
      </c>
      <c r="M133" s="254">
        <v>0.66220000000000001</v>
      </c>
      <c r="N133" s="254">
        <v>8.3000000000000004E-2</v>
      </c>
      <c r="O133" s="251"/>
      <c r="P133" s="251"/>
      <c r="Q133" s="251"/>
    </row>
    <row r="134" spans="1:17" ht="15">
      <c r="A134" s="253" t="s">
        <v>1464</v>
      </c>
      <c r="B134" s="251">
        <v>100</v>
      </c>
      <c r="C134" s="251">
        <v>100</v>
      </c>
      <c r="D134" s="251">
        <v>0</v>
      </c>
      <c r="E134" s="251">
        <v>30</v>
      </c>
      <c r="F134" s="251">
        <v>10</v>
      </c>
      <c r="G134" s="251">
        <f t="shared" si="5"/>
        <v>6.666666666666667</v>
      </c>
      <c r="H134" s="251">
        <v>20</v>
      </c>
      <c r="I134" s="251">
        <v>20</v>
      </c>
      <c r="J134" s="251">
        <v>20</v>
      </c>
      <c r="K134" s="254">
        <v>0.45</v>
      </c>
      <c r="L134" s="254">
        <v>0.115</v>
      </c>
      <c r="M134" s="254">
        <v>0.66</v>
      </c>
      <c r="N134" s="254">
        <v>8.3000000000000004E-2</v>
      </c>
      <c r="O134" s="251"/>
      <c r="P134" s="251"/>
      <c r="Q134" s="251"/>
    </row>
    <row r="135" spans="1:17" ht="15">
      <c r="A135" s="253" t="s">
        <v>1465</v>
      </c>
      <c r="B135" s="251">
        <v>250</v>
      </c>
      <c r="C135" s="251">
        <v>190</v>
      </c>
      <c r="D135" s="251">
        <v>0</v>
      </c>
      <c r="E135" s="251">
        <v>30</v>
      </c>
      <c r="F135" s="251">
        <v>30</v>
      </c>
      <c r="G135" s="251">
        <f t="shared" si="5"/>
        <v>20</v>
      </c>
      <c r="H135" s="251">
        <v>20</v>
      </c>
      <c r="I135" s="251">
        <v>20</v>
      </c>
      <c r="J135" s="251">
        <v>20</v>
      </c>
      <c r="K135" s="254">
        <v>0.4</v>
      </c>
      <c r="L135" s="254">
        <v>0.115</v>
      </c>
      <c r="M135" s="254">
        <v>0.66220000000000001</v>
      </c>
      <c r="N135" s="254">
        <v>8.3000000000000004E-2</v>
      </c>
      <c r="O135" s="251"/>
      <c r="P135" s="251"/>
      <c r="Q135" s="251"/>
    </row>
    <row r="136" spans="1:17" ht="15">
      <c r="A136" s="253" t="s">
        <v>1466</v>
      </c>
      <c r="B136" s="251">
        <v>300</v>
      </c>
      <c r="C136" s="251">
        <v>205</v>
      </c>
      <c r="D136" s="251">
        <v>0</v>
      </c>
      <c r="E136" s="251">
        <v>30</v>
      </c>
      <c r="F136" s="251">
        <v>30</v>
      </c>
      <c r="G136" s="251">
        <f t="shared" si="5"/>
        <v>20</v>
      </c>
      <c r="H136" s="251">
        <v>20</v>
      </c>
      <c r="I136" s="251">
        <v>20</v>
      </c>
      <c r="J136" s="251">
        <v>20</v>
      </c>
      <c r="K136" s="254">
        <v>0.36</v>
      </c>
      <c r="L136" s="254">
        <v>0.115</v>
      </c>
      <c r="M136" s="254">
        <v>0.66</v>
      </c>
      <c r="N136" s="254">
        <v>8.3000000000000004E-2</v>
      </c>
      <c r="O136" s="251"/>
      <c r="P136" s="251"/>
      <c r="Q136" s="251"/>
    </row>
    <row r="137" spans="1:17" ht="15">
      <c r="A137" s="253" t="s">
        <v>1707</v>
      </c>
      <c r="B137" s="251">
        <v>310</v>
      </c>
      <c r="C137" s="251">
        <v>240</v>
      </c>
      <c r="D137" s="251">
        <v>0</v>
      </c>
      <c r="E137" s="251">
        <v>30</v>
      </c>
      <c r="F137" s="251">
        <v>50</v>
      </c>
      <c r="G137" s="251">
        <f t="shared" si="5"/>
        <v>33.333333333333336</v>
      </c>
      <c r="H137" s="251">
        <v>20</v>
      </c>
      <c r="I137" s="251">
        <v>20</v>
      </c>
      <c r="J137" s="251">
        <v>20</v>
      </c>
      <c r="K137" s="304">
        <v>0.49</v>
      </c>
      <c r="L137" s="254">
        <v>0.115</v>
      </c>
      <c r="M137" s="254">
        <v>0.66</v>
      </c>
      <c r="N137" s="254">
        <v>8.3000000000000004E-2</v>
      </c>
      <c r="O137" s="251"/>
      <c r="P137" s="251"/>
      <c r="Q137" s="251"/>
    </row>
    <row r="138" spans="1:17" ht="15">
      <c r="A138" s="253" t="s">
        <v>1708</v>
      </c>
      <c r="B138" s="251">
        <v>360</v>
      </c>
      <c r="C138" s="251">
        <v>300</v>
      </c>
      <c r="D138" s="251">
        <v>0</v>
      </c>
      <c r="E138" s="251">
        <v>30</v>
      </c>
      <c r="F138" s="251">
        <v>50</v>
      </c>
      <c r="G138" s="251">
        <f t="shared" si="5"/>
        <v>33.333333333333336</v>
      </c>
      <c r="H138" s="251">
        <v>20</v>
      </c>
      <c r="I138" s="251">
        <v>20</v>
      </c>
      <c r="J138" s="251">
        <v>20</v>
      </c>
      <c r="K138" s="304">
        <v>0.51</v>
      </c>
      <c r="L138" s="254">
        <v>0.115</v>
      </c>
      <c r="M138" s="254">
        <v>0.66</v>
      </c>
      <c r="N138" s="254">
        <v>8.3000000000000004E-2</v>
      </c>
      <c r="O138" s="251"/>
      <c r="P138" s="251"/>
      <c r="Q138" s="251"/>
    </row>
    <row r="139" spans="1:17" ht="15">
      <c r="A139" s="252" t="s">
        <v>1572</v>
      </c>
      <c r="B139" s="289">
        <v>350</v>
      </c>
      <c r="C139" s="289">
        <v>185</v>
      </c>
      <c r="D139" s="289">
        <v>0</v>
      </c>
      <c r="E139" s="289">
        <v>60</v>
      </c>
      <c r="F139" s="289">
        <v>0</v>
      </c>
      <c r="G139" s="289">
        <v>0</v>
      </c>
      <c r="H139" s="291">
        <v>10</v>
      </c>
      <c r="I139" s="291">
        <v>19</v>
      </c>
      <c r="J139" s="291">
        <v>19</v>
      </c>
      <c r="K139" s="290">
        <v>0.41</v>
      </c>
      <c r="L139" s="290">
        <v>0.12</v>
      </c>
      <c r="M139" s="290">
        <v>0.78</v>
      </c>
      <c r="N139" s="290">
        <v>0.06</v>
      </c>
      <c r="O139" s="251"/>
      <c r="P139" s="251"/>
      <c r="Q139" s="251"/>
    </row>
    <row r="140" spans="1:17" ht="15">
      <c r="A140" s="253" t="s">
        <v>1467</v>
      </c>
      <c r="B140" s="251">
        <v>250</v>
      </c>
      <c r="C140" s="251">
        <v>100</v>
      </c>
      <c r="D140" s="251">
        <v>0</v>
      </c>
      <c r="E140" s="251">
        <v>60</v>
      </c>
      <c r="F140" s="251">
        <v>70</v>
      </c>
      <c r="G140" s="251">
        <f>F140*2/3</f>
        <v>46.666666666666664</v>
      </c>
      <c r="H140" s="251">
        <v>20</v>
      </c>
      <c r="I140" s="251">
        <v>20</v>
      </c>
      <c r="J140" s="251">
        <v>20</v>
      </c>
      <c r="K140" s="254">
        <v>0.25</v>
      </c>
      <c r="L140" s="254">
        <v>9.1999999999999998E-2</v>
      </c>
      <c r="M140" s="254">
        <v>0.30099999999999999</v>
      </c>
      <c r="N140" s="254">
        <v>4.1000000000000002E-2</v>
      </c>
      <c r="O140" s="251"/>
      <c r="P140" s="251"/>
      <c r="Q140" s="251"/>
    </row>
    <row r="141" spans="1:17" ht="15">
      <c r="A141" s="249" t="s">
        <v>1468</v>
      </c>
      <c r="B141" s="289">
        <v>150</v>
      </c>
      <c r="C141" s="289">
        <v>100</v>
      </c>
      <c r="D141" s="289">
        <v>0</v>
      </c>
      <c r="E141" s="289">
        <v>60</v>
      </c>
      <c r="F141" s="289">
        <v>0</v>
      </c>
      <c r="G141" s="289">
        <v>0</v>
      </c>
      <c r="H141" s="291">
        <v>10</v>
      </c>
      <c r="I141" s="291">
        <v>5</v>
      </c>
      <c r="J141" s="291">
        <v>5</v>
      </c>
      <c r="K141" s="290">
        <v>0.41</v>
      </c>
      <c r="L141" s="290">
        <v>0.12</v>
      </c>
      <c r="M141" s="290">
        <v>0.77</v>
      </c>
      <c r="N141" s="290">
        <v>0.08</v>
      </c>
      <c r="O141" s="251"/>
      <c r="P141" s="251"/>
      <c r="Q141" s="251"/>
    </row>
    <row r="142" spans="1:17" ht="15">
      <c r="A142" s="252" t="s">
        <v>2095</v>
      </c>
      <c r="B142" s="344">
        <v>600</v>
      </c>
      <c r="C142" s="291">
        <v>225</v>
      </c>
      <c r="D142" s="291">
        <v>0</v>
      </c>
      <c r="E142" s="344">
        <v>60</v>
      </c>
      <c r="F142" s="291">
        <v>120</v>
      </c>
      <c r="G142" s="251">
        <f>F142*2/3</f>
        <v>80</v>
      </c>
      <c r="H142" s="291">
        <v>20</v>
      </c>
      <c r="I142" s="344">
        <v>20</v>
      </c>
      <c r="J142" s="344">
        <v>20</v>
      </c>
      <c r="K142" s="345">
        <v>0.3</v>
      </c>
      <c r="L142" s="345">
        <v>0.05</v>
      </c>
      <c r="M142" s="345">
        <v>0.39</v>
      </c>
      <c r="N142" s="345">
        <v>0.03</v>
      </c>
      <c r="O142" s="251"/>
      <c r="P142" s="251"/>
      <c r="Q142" s="251"/>
    </row>
    <row r="143" spans="1:17" ht="15">
      <c r="A143" s="253" t="s">
        <v>1469</v>
      </c>
      <c r="B143" s="251">
        <v>700</v>
      </c>
      <c r="C143" s="251">
        <v>260</v>
      </c>
      <c r="D143" s="251">
        <v>0</v>
      </c>
      <c r="E143" s="251">
        <v>60</v>
      </c>
      <c r="F143" s="251">
        <v>75</v>
      </c>
      <c r="G143" s="251">
        <f>F143*2/3</f>
        <v>50</v>
      </c>
      <c r="H143" s="251">
        <v>20</v>
      </c>
      <c r="I143" s="251">
        <v>40</v>
      </c>
      <c r="J143" s="251">
        <v>40</v>
      </c>
      <c r="K143" s="254">
        <v>0.2</v>
      </c>
      <c r="L143" s="254">
        <v>7.2999999999999995E-2</v>
      </c>
      <c r="M143" s="254">
        <v>0.31303999999999998</v>
      </c>
      <c r="N143" s="254">
        <v>2.5000000000000001E-2</v>
      </c>
      <c r="O143" s="251"/>
      <c r="P143" s="251"/>
      <c r="Q143" s="251"/>
    </row>
    <row r="144" spans="1:17" ht="15">
      <c r="A144" s="253" t="s">
        <v>1470</v>
      </c>
      <c r="B144" s="251">
        <v>1000</v>
      </c>
      <c r="C144" s="251">
        <v>320</v>
      </c>
      <c r="D144" s="251">
        <v>0</v>
      </c>
      <c r="E144" s="251">
        <v>90</v>
      </c>
      <c r="F144" s="251">
        <v>75</v>
      </c>
      <c r="G144" s="251">
        <f>F144*2/3</f>
        <v>50</v>
      </c>
      <c r="H144" s="251">
        <v>20</v>
      </c>
      <c r="I144" s="251">
        <v>40</v>
      </c>
      <c r="J144" s="251">
        <v>40</v>
      </c>
      <c r="K144" s="254">
        <v>0.2</v>
      </c>
      <c r="L144" s="254">
        <v>7.2999999999999995E-2</v>
      </c>
      <c r="M144" s="254">
        <v>0.31303999999999998</v>
      </c>
      <c r="N144" s="254">
        <v>2.5000000000000001E-2</v>
      </c>
      <c r="O144" s="251"/>
      <c r="P144" s="251"/>
      <c r="Q144" s="251"/>
    </row>
    <row r="145" spans="1:17" ht="15">
      <c r="A145" s="249" t="s">
        <v>1591</v>
      </c>
      <c r="B145" s="289">
        <v>100</v>
      </c>
      <c r="C145" s="289">
        <v>80</v>
      </c>
      <c r="D145" s="289">
        <v>0</v>
      </c>
      <c r="E145" s="289">
        <v>30</v>
      </c>
      <c r="F145" s="289">
        <v>0</v>
      </c>
      <c r="G145" s="289">
        <v>0</v>
      </c>
      <c r="H145" s="291">
        <v>10</v>
      </c>
      <c r="I145" s="291">
        <v>4</v>
      </c>
      <c r="J145" s="291">
        <v>4</v>
      </c>
      <c r="K145" s="290">
        <v>0.41</v>
      </c>
      <c r="L145" s="290">
        <v>0.1</v>
      </c>
      <c r="M145" s="290">
        <v>0.7</v>
      </c>
      <c r="N145" s="290">
        <v>0.04</v>
      </c>
      <c r="O145" s="251"/>
      <c r="P145" s="251"/>
      <c r="Q145" s="251"/>
    </row>
    <row r="146" spans="1:17" ht="15">
      <c r="A146" s="289" t="s">
        <v>1704</v>
      </c>
      <c r="B146" s="289">
        <v>800</v>
      </c>
      <c r="C146" s="289">
        <v>440</v>
      </c>
      <c r="D146" s="289">
        <v>0</v>
      </c>
      <c r="E146" s="289">
        <v>60</v>
      </c>
      <c r="F146" s="289">
        <v>0</v>
      </c>
      <c r="G146" s="289">
        <v>0</v>
      </c>
      <c r="H146" s="291">
        <v>10</v>
      </c>
      <c r="I146" s="291">
        <v>44</v>
      </c>
      <c r="J146" s="291">
        <v>44</v>
      </c>
      <c r="K146" s="290">
        <v>0.5</v>
      </c>
      <c r="L146" s="290">
        <v>0.13700000000000001</v>
      </c>
      <c r="M146" s="290">
        <v>0.52</v>
      </c>
      <c r="N146" s="290">
        <v>7.0000000000000007E-2</v>
      </c>
      <c r="O146" s="251"/>
      <c r="P146" s="251"/>
      <c r="Q146" s="251"/>
    </row>
    <row r="147" spans="1:17" ht="15">
      <c r="A147" s="253" t="s">
        <v>1471</v>
      </c>
      <c r="B147" s="251">
        <v>400</v>
      </c>
      <c r="C147" s="251">
        <v>285</v>
      </c>
      <c r="D147" s="251">
        <v>0</v>
      </c>
      <c r="E147" s="251">
        <v>60</v>
      </c>
      <c r="F147" s="251">
        <v>80</v>
      </c>
      <c r="G147" s="251">
        <f>F147*2/3</f>
        <v>53.333333333333336</v>
      </c>
      <c r="H147" s="251">
        <v>20</v>
      </c>
      <c r="I147" s="251">
        <v>40</v>
      </c>
      <c r="J147" s="251">
        <v>40</v>
      </c>
      <c r="K147" s="254">
        <v>0.35</v>
      </c>
      <c r="L147" s="254">
        <v>0.115</v>
      </c>
      <c r="M147" s="254">
        <v>0.38528000000000001</v>
      </c>
      <c r="N147" s="254">
        <v>2.5000000000000001E-2</v>
      </c>
      <c r="O147" s="251"/>
      <c r="P147" s="251"/>
      <c r="Q147" s="251"/>
    </row>
    <row r="148" spans="1:17" ht="15">
      <c r="A148" s="249" t="s">
        <v>1472</v>
      </c>
      <c r="B148" s="294">
        <v>300</v>
      </c>
      <c r="C148" s="294">
        <v>185</v>
      </c>
      <c r="D148" s="289">
        <v>0</v>
      </c>
      <c r="E148" s="294">
        <v>60</v>
      </c>
      <c r="F148" s="294">
        <v>0</v>
      </c>
      <c r="G148" s="294">
        <v>0</v>
      </c>
      <c r="H148" s="291">
        <v>10</v>
      </c>
      <c r="I148" s="291">
        <v>19</v>
      </c>
      <c r="J148" s="291">
        <v>19</v>
      </c>
      <c r="K148" s="290">
        <v>0.49</v>
      </c>
      <c r="L148" s="290">
        <v>0.14000000000000001</v>
      </c>
      <c r="M148" s="290">
        <v>0.76</v>
      </c>
      <c r="N148" s="290">
        <v>0.09</v>
      </c>
      <c r="O148" s="251"/>
      <c r="P148" s="251"/>
      <c r="Q148" s="251"/>
    </row>
    <row r="149" spans="1:17" ht="15">
      <c r="A149" s="253" t="s">
        <v>1473</v>
      </c>
      <c r="B149" s="251">
        <v>650</v>
      </c>
      <c r="C149" s="251">
        <v>250</v>
      </c>
      <c r="D149" s="251">
        <v>0</v>
      </c>
      <c r="E149" s="251">
        <v>60</v>
      </c>
      <c r="F149" s="251">
        <v>85</v>
      </c>
      <c r="G149" s="251">
        <f>F149*2/3</f>
        <v>56.666666666666664</v>
      </c>
      <c r="H149" s="251">
        <v>20</v>
      </c>
      <c r="I149" s="251">
        <v>20</v>
      </c>
      <c r="J149" s="251">
        <v>20</v>
      </c>
      <c r="K149" s="254">
        <v>0.16</v>
      </c>
      <c r="L149" s="254">
        <v>0.06</v>
      </c>
      <c r="M149" s="254">
        <v>0.20468</v>
      </c>
      <c r="N149" s="254">
        <v>2.7E-2</v>
      </c>
      <c r="O149" s="251"/>
      <c r="P149" s="251"/>
      <c r="Q149" s="251"/>
    </row>
    <row r="150" spans="1:17" ht="15">
      <c r="A150" s="253" t="s">
        <v>1474</v>
      </c>
      <c r="B150" s="251">
        <v>200</v>
      </c>
      <c r="C150" s="251">
        <v>160</v>
      </c>
      <c r="D150" s="251">
        <v>0</v>
      </c>
      <c r="E150" s="251">
        <v>90</v>
      </c>
      <c r="F150" s="251">
        <v>60</v>
      </c>
      <c r="G150" s="251">
        <f>F150*2/3</f>
        <v>40</v>
      </c>
      <c r="H150" s="251">
        <v>20</v>
      </c>
      <c r="I150" s="251">
        <v>20</v>
      </c>
      <c r="J150" s="251">
        <v>20</v>
      </c>
      <c r="K150" s="254">
        <v>0.35</v>
      </c>
      <c r="L150" s="254">
        <v>0.16</v>
      </c>
      <c r="M150" s="254">
        <v>0.26488</v>
      </c>
      <c r="N150" s="254">
        <v>5.8000000000000003E-2</v>
      </c>
      <c r="O150" s="251"/>
      <c r="P150" s="251"/>
      <c r="Q150" s="251"/>
    </row>
    <row r="151" spans="1:17" ht="15">
      <c r="A151" s="253" t="s">
        <v>1475</v>
      </c>
      <c r="B151" s="251">
        <v>680</v>
      </c>
      <c r="C151" s="251">
        <v>210</v>
      </c>
      <c r="D151" s="251">
        <v>4</v>
      </c>
      <c r="E151" s="251">
        <v>30</v>
      </c>
      <c r="F151" s="251">
        <v>15</v>
      </c>
      <c r="G151" s="251">
        <f>F151*2/3</f>
        <v>10</v>
      </c>
      <c r="H151" s="251">
        <v>20</v>
      </c>
      <c r="I151" s="251">
        <v>20</v>
      </c>
      <c r="J151" s="251">
        <v>20</v>
      </c>
      <c r="K151" s="254">
        <v>0.2</v>
      </c>
      <c r="L151" s="254">
        <v>0.06</v>
      </c>
      <c r="M151" s="254">
        <v>0.24080000000000001</v>
      </c>
      <c r="N151" s="254">
        <v>3.3160000000000002E-2</v>
      </c>
      <c r="O151" s="251"/>
      <c r="P151" s="251"/>
      <c r="Q151" s="251"/>
    </row>
    <row r="152" spans="1:17" ht="15">
      <c r="A152" s="253" t="s">
        <v>1709</v>
      </c>
      <c r="B152" s="348">
        <v>450</v>
      </c>
      <c r="C152" s="255">
        <v>125</v>
      </c>
      <c r="D152" s="251">
        <v>6</v>
      </c>
      <c r="E152" s="251">
        <v>60</v>
      </c>
      <c r="F152" s="251">
        <v>30</v>
      </c>
      <c r="G152" s="251">
        <f>F152*2/3</f>
        <v>20</v>
      </c>
      <c r="H152" s="251">
        <v>20</v>
      </c>
      <c r="I152" s="251">
        <v>20</v>
      </c>
      <c r="J152" s="251">
        <v>20</v>
      </c>
      <c r="K152" s="304">
        <v>0.27</v>
      </c>
      <c r="L152" s="304">
        <v>0.105</v>
      </c>
      <c r="M152" s="254">
        <v>0.3</v>
      </c>
      <c r="N152" s="254">
        <v>2.9000000000000001E-2</v>
      </c>
      <c r="O152" s="251"/>
      <c r="P152" s="251"/>
      <c r="Q152" s="251"/>
    </row>
    <row r="153" spans="1:17" ht="15">
      <c r="A153" s="253" t="s">
        <v>2128</v>
      </c>
      <c r="B153" s="442">
        <v>600</v>
      </c>
      <c r="C153" s="251">
        <v>155</v>
      </c>
      <c r="D153" s="251">
        <v>6</v>
      </c>
      <c r="E153" s="251">
        <v>60</v>
      </c>
      <c r="F153" s="251">
        <v>30</v>
      </c>
      <c r="G153" s="251">
        <f>F153*2/3</f>
        <v>20</v>
      </c>
      <c r="H153" s="251">
        <v>20</v>
      </c>
      <c r="I153" s="251">
        <v>20</v>
      </c>
      <c r="J153" s="251">
        <v>20</v>
      </c>
      <c r="K153" s="254">
        <v>0.18</v>
      </c>
      <c r="L153" s="254">
        <v>0.08</v>
      </c>
      <c r="M153" s="254">
        <v>0.21</v>
      </c>
      <c r="N153" s="254">
        <v>2.5000000000000001E-2</v>
      </c>
      <c r="O153" s="251"/>
      <c r="P153" s="251"/>
      <c r="Q153" s="251"/>
    </row>
  </sheetData>
  <sheetProtection algorithmName="SHA-512" hashValue="NYeMz6H+j0keCs6gEfyWb4vYdWkGvpHM+fEOo5PqgyEGBlcNv9/nxWoTIJU4A4LmJtsYpOJB+Rwlppg/wag9Gg==" saltValue="u/N+3+kMUpvF4nPwwvt1Bw==" spinCount="100000" sheet="1" objects="1" scenarios="1"/>
  <sortState ref="A2:G4">
    <sortCondition ref="A2:A4"/>
  </sortState>
  <customSheetViews>
    <customSheetView guid="{0E46878E-35A0-4520-9188-2905702DCB38}">
      <pane ySplit="1" topLeftCell="A2" activePane="bottomLeft" state="frozen"/>
      <selection pane="bottomLeft" activeCell="A12" sqref="A12"/>
      <pageMargins left="0.78740157499999996" right="0.78740157499999996" top="0.984251969" bottom="0.984251969" header="0.4921259845" footer="0.4921259845"/>
      <pageSetup paperSize="9" orientation="portrait" r:id="rId1"/>
      <headerFooter alignWithMargins="0"/>
    </customSheetView>
  </customSheetViews>
  <phoneticPr fontId="1" type="noConversion"/>
  <conditionalFormatting sqref="I2:J11 I154:J1048576">
    <cfRule type="cellIs" dxfId="103" priority="84" operator="notEqual">
      <formula>20</formula>
    </cfRule>
  </conditionalFormatting>
  <conditionalFormatting sqref="I3:J11">
    <cfRule type="cellIs" dxfId="102" priority="20" operator="notEqual">
      <formula>20</formula>
    </cfRule>
  </conditionalFormatting>
  <conditionalFormatting sqref="D2:D11">
    <cfRule type="cellIs" dxfId="101" priority="27" operator="notEqual">
      <formula>0</formula>
    </cfRule>
  </conditionalFormatting>
  <conditionalFormatting sqref="E2:E11">
    <cfRule type="cellIs" dxfId="100" priority="5" operator="equal">
      <formula>90</formula>
    </cfRule>
    <cfRule type="cellIs" dxfId="99" priority="6" operator="equal">
      <formula>60</formula>
    </cfRule>
    <cfRule type="cellIs" dxfId="98" priority="7" operator="equal">
      <formula>15</formula>
    </cfRule>
  </conditionalFormatting>
  <pageMargins left="0.78740157480314965" right="0.39370078740157483" top="0.78740157480314965" bottom="0.19685039370078741" header="0.31496062992125984" footer="0.31496062992125984"/>
  <pageSetup paperSize="9" scale="48" orientation="portrait" r:id="rId2"/>
  <headerFooter>
    <oddHeader xml:space="preserve">&amp;L&amp;8Dienstleistungszentrum Ländlicher Raum (DLR) - Rheinpfalz, Breitenweg 71, 67435 Neustadt/Weinstraße
Alle Angaben ohne Gewähr. </oddHeader>
  </headerFooter>
  <drawing r:id="rId3"/>
  <legacyDrawing r:id="rId4"/>
  <tableParts count="1">
    <tablePart r:id="rId5"/>
  </tablePart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212"/>
  <sheetViews>
    <sheetView topLeftCell="B1" zoomScaleNormal="100" workbookViewId="0">
      <pane ySplit="1" topLeftCell="A2" activePane="bottomLeft" state="frozen"/>
      <selection activeCell="B1" sqref="B1"/>
      <selection pane="bottomLeft" activeCell="B2" sqref="B2"/>
    </sheetView>
  </sheetViews>
  <sheetFormatPr baseColWidth="10" defaultRowHeight="12.75"/>
  <cols>
    <col min="1" max="1" width="11.28515625" style="276" hidden="1" customWidth="1"/>
    <col min="2" max="2" width="44.7109375" style="276" customWidth="1"/>
    <col min="3" max="3" width="8.42578125" style="260" customWidth="1"/>
    <col min="4" max="4" width="8.7109375" style="262" customWidth="1"/>
    <col min="5" max="5" width="9.85546875" style="277" customWidth="1"/>
    <col min="6" max="6" width="8.7109375" style="262" customWidth="1"/>
    <col min="7" max="7" width="8.5703125" style="260" customWidth="1"/>
    <col min="8" max="9" width="8.140625" style="260" customWidth="1"/>
    <col min="10" max="10" width="11.140625" style="260" customWidth="1"/>
    <col min="11" max="11" width="14.140625" style="260" customWidth="1"/>
    <col min="12" max="12" width="9.85546875" style="260" customWidth="1"/>
    <col min="13" max="14" width="11.5703125" style="260" customWidth="1"/>
    <col min="15" max="15" width="11.85546875" style="260" customWidth="1"/>
    <col min="16" max="16" width="11.5703125" style="260" customWidth="1"/>
    <col min="17" max="17" width="12" style="260" customWidth="1"/>
    <col min="18" max="18" width="11.42578125" style="260" customWidth="1"/>
    <col min="19" max="20" width="6.85546875" style="260" customWidth="1"/>
    <col min="21" max="21" width="12" style="278" customWidth="1"/>
    <col min="22" max="22" width="11.42578125" style="258"/>
    <col min="23" max="23" width="56.140625" style="275" hidden="1" customWidth="1"/>
    <col min="24" max="16384" width="11.42578125" style="258"/>
  </cols>
  <sheetData>
    <row r="1" spans="1:23" s="320" customFormat="1" ht="109.5" customHeight="1">
      <c r="A1" s="318" t="s">
        <v>1119</v>
      </c>
      <c r="B1" s="319" t="s">
        <v>2080</v>
      </c>
      <c r="C1" s="324" t="s">
        <v>1112</v>
      </c>
      <c r="D1" s="324" t="s">
        <v>1113</v>
      </c>
      <c r="E1" s="324" t="s">
        <v>1126</v>
      </c>
      <c r="F1" s="324" t="s">
        <v>1114</v>
      </c>
      <c r="G1" s="324" t="s">
        <v>1024</v>
      </c>
      <c r="H1" s="324" t="s">
        <v>1025</v>
      </c>
      <c r="I1" s="324" t="s">
        <v>1124</v>
      </c>
      <c r="J1" s="324" t="s">
        <v>1027</v>
      </c>
      <c r="K1" s="324" t="s">
        <v>1032</v>
      </c>
      <c r="L1" s="324" t="s">
        <v>1107</v>
      </c>
      <c r="M1" s="324" t="s">
        <v>1108</v>
      </c>
      <c r="N1" s="324" t="s">
        <v>1109</v>
      </c>
      <c r="O1" s="324" t="s">
        <v>2100</v>
      </c>
      <c r="P1" s="324" t="s">
        <v>2097</v>
      </c>
      <c r="Q1" s="324" t="s">
        <v>2098</v>
      </c>
      <c r="R1" s="324" t="s">
        <v>2099</v>
      </c>
      <c r="S1" s="324" t="s">
        <v>2078</v>
      </c>
      <c r="T1" s="324" t="s">
        <v>2079</v>
      </c>
      <c r="U1" s="324" t="s">
        <v>1117</v>
      </c>
      <c r="W1" s="244" t="s">
        <v>1120</v>
      </c>
    </row>
    <row r="2" spans="1:23" ht="15">
      <c r="A2" s="271"/>
      <c r="B2" s="282" t="s">
        <v>1615</v>
      </c>
      <c r="C2" s="283"/>
      <c r="D2" s="295"/>
      <c r="E2" s="283"/>
      <c r="F2" s="295"/>
      <c r="G2" s="283"/>
      <c r="H2" s="283"/>
      <c r="I2" s="283"/>
      <c r="J2" s="283"/>
      <c r="K2" s="283"/>
      <c r="L2" s="283"/>
      <c r="M2" s="283"/>
      <c r="N2" s="283"/>
      <c r="O2" s="284"/>
      <c r="P2" s="284"/>
      <c r="Q2" s="284"/>
      <c r="R2" s="284"/>
      <c r="S2" s="295"/>
      <c r="T2" s="295"/>
      <c r="U2" s="295"/>
      <c r="W2" s="272" t="s">
        <v>1170</v>
      </c>
    </row>
    <row r="3" spans="1:23" ht="15">
      <c r="A3" s="271"/>
      <c r="B3" s="282" t="s">
        <v>1616</v>
      </c>
      <c r="C3" s="285"/>
      <c r="D3" s="296"/>
      <c r="E3" s="285"/>
      <c r="F3" s="296"/>
      <c r="G3" s="285"/>
      <c r="H3" s="285"/>
      <c r="I3" s="285"/>
      <c r="J3" s="285"/>
      <c r="K3" s="285"/>
      <c r="L3" s="285"/>
      <c r="M3" s="285"/>
      <c r="N3" s="285"/>
      <c r="O3" s="286"/>
      <c r="P3" s="286"/>
      <c r="Q3" s="286"/>
      <c r="R3" s="286"/>
      <c r="S3" s="296"/>
      <c r="T3" s="296"/>
      <c r="U3" s="296"/>
      <c r="W3" s="272" t="s">
        <v>1171</v>
      </c>
    </row>
    <row r="4" spans="1:23" ht="15">
      <c r="A4" s="271">
        <v>1</v>
      </c>
      <c r="B4" s="282" t="s">
        <v>1617</v>
      </c>
      <c r="C4" s="285"/>
      <c r="D4" s="296"/>
      <c r="E4" s="285"/>
      <c r="F4" s="296"/>
      <c r="G4" s="285"/>
      <c r="H4" s="285"/>
      <c r="I4" s="285"/>
      <c r="J4" s="285"/>
      <c r="K4" s="285"/>
      <c r="L4" s="285"/>
      <c r="M4" s="285"/>
      <c r="N4" s="285"/>
      <c r="O4" s="286"/>
      <c r="P4" s="286"/>
      <c r="Q4" s="286"/>
      <c r="R4" s="286"/>
      <c r="S4" s="296"/>
      <c r="T4" s="296"/>
      <c r="U4" s="296"/>
      <c r="W4" s="272" t="s">
        <v>1172</v>
      </c>
    </row>
    <row r="5" spans="1:23" ht="15">
      <c r="A5" s="271"/>
      <c r="B5" s="282" t="s">
        <v>1618</v>
      </c>
      <c r="C5" s="285"/>
      <c r="D5" s="296"/>
      <c r="E5" s="285"/>
      <c r="F5" s="296"/>
      <c r="G5" s="285"/>
      <c r="H5" s="285"/>
      <c r="I5" s="285"/>
      <c r="J5" s="285"/>
      <c r="K5" s="285"/>
      <c r="L5" s="285"/>
      <c r="M5" s="285"/>
      <c r="N5" s="285"/>
      <c r="O5" s="286"/>
      <c r="P5" s="286"/>
      <c r="Q5" s="286"/>
      <c r="R5" s="286"/>
      <c r="S5" s="296"/>
      <c r="T5" s="296"/>
      <c r="U5" s="296"/>
      <c r="W5" s="272" t="s">
        <v>1173</v>
      </c>
    </row>
    <row r="6" spans="1:23" ht="15">
      <c r="A6" s="271"/>
      <c r="B6" s="282" t="s">
        <v>1619</v>
      </c>
      <c r="C6" s="285"/>
      <c r="D6" s="296"/>
      <c r="E6" s="285"/>
      <c r="F6" s="296"/>
      <c r="G6" s="285"/>
      <c r="H6" s="285"/>
      <c r="I6" s="285"/>
      <c r="J6" s="285"/>
      <c r="K6" s="285"/>
      <c r="L6" s="285"/>
      <c r="M6" s="285"/>
      <c r="N6" s="285"/>
      <c r="O6" s="286"/>
      <c r="P6" s="286"/>
      <c r="Q6" s="286"/>
      <c r="R6" s="286"/>
      <c r="S6" s="296"/>
      <c r="T6" s="296"/>
      <c r="U6" s="296"/>
      <c r="W6" s="272" t="s">
        <v>1174</v>
      </c>
    </row>
    <row r="7" spans="1:23" ht="15">
      <c r="A7" s="271"/>
      <c r="B7" s="282" t="s">
        <v>1620</v>
      </c>
      <c r="C7" s="285"/>
      <c r="D7" s="296"/>
      <c r="E7" s="285"/>
      <c r="F7" s="296"/>
      <c r="G7" s="285"/>
      <c r="H7" s="285"/>
      <c r="I7" s="285"/>
      <c r="J7" s="285"/>
      <c r="K7" s="285"/>
      <c r="L7" s="285"/>
      <c r="M7" s="285"/>
      <c r="N7" s="285"/>
      <c r="O7" s="286"/>
      <c r="P7" s="286"/>
      <c r="Q7" s="286"/>
      <c r="R7" s="286"/>
      <c r="S7" s="296"/>
      <c r="T7" s="296"/>
      <c r="U7" s="296"/>
      <c r="W7" s="272" t="s">
        <v>1175</v>
      </c>
    </row>
    <row r="8" spans="1:23" ht="15">
      <c r="A8" s="271">
        <v>1</v>
      </c>
      <c r="B8" s="282" t="s">
        <v>1621</v>
      </c>
      <c r="C8" s="285"/>
      <c r="D8" s="296"/>
      <c r="E8" s="285"/>
      <c r="F8" s="296"/>
      <c r="G8" s="285"/>
      <c r="H8" s="285"/>
      <c r="I8" s="285"/>
      <c r="J8" s="285"/>
      <c r="K8" s="285"/>
      <c r="L8" s="285"/>
      <c r="M8" s="285"/>
      <c r="N8" s="285"/>
      <c r="O8" s="286"/>
      <c r="P8" s="286"/>
      <c r="Q8" s="286"/>
      <c r="R8" s="286"/>
      <c r="S8" s="296"/>
      <c r="T8" s="296"/>
      <c r="U8" s="296"/>
      <c r="W8" s="272" t="s">
        <v>1176</v>
      </c>
    </row>
    <row r="9" spans="1:23" ht="15">
      <c r="A9" s="271"/>
      <c r="B9" s="282" t="s">
        <v>1622</v>
      </c>
      <c r="C9" s="285"/>
      <c r="D9" s="296"/>
      <c r="E9" s="285"/>
      <c r="F9" s="296"/>
      <c r="G9" s="285"/>
      <c r="H9" s="285"/>
      <c r="I9" s="285"/>
      <c r="J9" s="285"/>
      <c r="K9" s="285"/>
      <c r="L9" s="285"/>
      <c r="M9" s="285"/>
      <c r="N9" s="285"/>
      <c r="O9" s="286"/>
      <c r="P9" s="286"/>
      <c r="Q9" s="286"/>
      <c r="R9" s="286"/>
      <c r="S9" s="296"/>
      <c r="T9" s="296"/>
      <c r="U9" s="296"/>
      <c r="W9" s="272" t="s">
        <v>1177</v>
      </c>
    </row>
    <row r="10" spans="1:23" ht="15">
      <c r="A10" s="271"/>
      <c r="B10" s="282" t="s">
        <v>1623</v>
      </c>
      <c r="C10" s="285"/>
      <c r="D10" s="296"/>
      <c r="E10" s="285"/>
      <c r="F10" s="296"/>
      <c r="G10" s="285"/>
      <c r="H10" s="285"/>
      <c r="I10" s="285"/>
      <c r="J10" s="285"/>
      <c r="K10" s="285"/>
      <c r="L10" s="285"/>
      <c r="M10" s="285"/>
      <c r="N10" s="285"/>
      <c r="O10" s="286"/>
      <c r="P10" s="286"/>
      <c r="Q10" s="286"/>
      <c r="R10" s="286"/>
      <c r="S10" s="296"/>
      <c r="T10" s="296"/>
      <c r="U10" s="296"/>
      <c r="W10" s="272" t="s">
        <v>1178</v>
      </c>
    </row>
    <row r="11" spans="1:23" ht="15">
      <c r="A11" s="271">
        <v>1</v>
      </c>
      <c r="B11" s="282" t="s">
        <v>1624</v>
      </c>
      <c r="C11" s="287"/>
      <c r="D11" s="297"/>
      <c r="E11" s="287"/>
      <c r="F11" s="297"/>
      <c r="G11" s="287"/>
      <c r="H11" s="287"/>
      <c r="I11" s="287"/>
      <c r="J11" s="287"/>
      <c r="K11" s="287"/>
      <c r="L11" s="287"/>
      <c r="M11" s="287"/>
      <c r="N11" s="287"/>
      <c r="O11" s="288"/>
      <c r="P11" s="288"/>
      <c r="Q11" s="288"/>
      <c r="R11" s="288"/>
      <c r="S11" s="297"/>
      <c r="T11" s="297"/>
      <c r="U11" s="297"/>
      <c r="W11" s="272" t="s">
        <v>1179</v>
      </c>
    </row>
    <row r="12" spans="1:23" ht="15">
      <c r="A12" s="271"/>
      <c r="B12" s="289" t="s">
        <v>1477</v>
      </c>
      <c r="C12" s="289">
        <v>50</v>
      </c>
      <c r="D12" s="290">
        <v>10</v>
      </c>
      <c r="E12" s="291">
        <v>30</v>
      </c>
      <c r="F12" s="290">
        <v>7</v>
      </c>
      <c r="G12" s="289">
        <v>45</v>
      </c>
      <c r="H12" s="289">
        <v>0</v>
      </c>
      <c r="I12" s="289">
        <v>30</v>
      </c>
      <c r="J12" s="289">
        <v>0</v>
      </c>
      <c r="K12" s="289">
        <v>0</v>
      </c>
      <c r="L12" s="291">
        <v>10</v>
      </c>
      <c r="M12" s="291">
        <v>2</v>
      </c>
      <c r="N12" s="291">
        <v>2</v>
      </c>
      <c r="O12" s="290">
        <v>0.5</v>
      </c>
      <c r="P12" s="290">
        <v>0.23</v>
      </c>
      <c r="Q12" s="290">
        <v>0.74</v>
      </c>
      <c r="R12" s="290">
        <v>0.14000000000000001</v>
      </c>
      <c r="S12" s="314"/>
      <c r="T12" s="299"/>
      <c r="U12" s="300">
        <v>5</v>
      </c>
      <c r="W12" s="272" t="s">
        <v>1180</v>
      </c>
    </row>
    <row r="13" spans="1:23" ht="15">
      <c r="A13" s="271">
        <v>1</v>
      </c>
      <c r="B13" s="289" t="s">
        <v>1625</v>
      </c>
      <c r="C13" s="294">
        <v>50</v>
      </c>
      <c r="D13" s="290">
        <v>10</v>
      </c>
      <c r="E13" s="291">
        <v>30</v>
      </c>
      <c r="F13" s="290">
        <v>7</v>
      </c>
      <c r="G13" s="294">
        <v>45</v>
      </c>
      <c r="H13" s="289">
        <v>0</v>
      </c>
      <c r="I13" s="294">
        <v>30</v>
      </c>
      <c r="J13" s="294">
        <v>0</v>
      </c>
      <c r="K13" s="294">
        <v>0</v>
      </c>
      <c r="L13" s="291">
        <v>10</v>
      </c>
      <c r="M13" s="291">
        <v>2</v>
      </c>
      <c r="N13" s="291">
        <v>2</v>
      </c>
      <c r="O13" s="290">
        <v>0.53</v>
      </c>
      <c r="P13" s="290">
        <v>0.2</v>
      </c>
      <c r="Q13" s="290">
        <v>0.96</v>
      </c>
      <c r="R13" s="290">
        <v>0.13</v>
      </c>
      <c r="S13" s="299"/>
      <c r="T13" s="299"/>
      <c r="U13" s="300">
        <v>5</v>
      </c>
      <c r="W13" s="272" t="s">
        <v>1181</v>
      </c>
    </row>
    <row r="14" spans="1:23" ht="15">
      <c r="A14" s="271"/>
      <c r="B14" s="289" t="s">
        <v>1479</v>
      </c>
      <c r="C14" s="294">
        <v>80</v>
      </c>
      <c r="D14" s="290">
        <v>20</v>
      </c>
      <c r="E14" s="291">
        <v>30</v>
      </c>
      <c r="F14" s="290">
        <v>14</v>
      </c>
      <c r="G14" s="294">
        <v>85</v>
      </c>
      <c r="H14" s="289">
        <v>0</v>
      </c>
      <c r="I14" s="294">
        <v>60</v>
      </c>
      <c r="J14" s="294">
        <v>0</v>
      </c>
      <c r="K14" s="294">
        <v>0</v>
      </c>
      <c r="L14" s="291">
        <v>10</v>
      </c>
      <c r="M14" s="291">
        <v>4</v>
      </c>
      <c r="N14" s="291">
        <v>4</v>
      </c>
      <c r="O14" s="290">
        <v>0.56000000000000005</v>
      </c>
      <c r="P14" s="290">
        <v>0.18</v>
      </c>
      <c r="Q14" s="290">
        <v>0.76</v>
      </c>
      <c r="R14" s="290">
        <v>0.08</v>
      </c>
      <c r="S14" s="299"/>
      <c r="T14" s="299"/>
      <c r="U14" s="300">
        <v>5</v>
      </c>
      <c r="W14" s="272" t="s">
        <v>1111</v>
      </c>
    </row>
    <row r="15" spans="1:23" ht="15">
      <c r="A15" s="271">
        <v>1</v>
      </c>
      <c r="B15" s="289" t="s">
        <v>1480</v>
      </c>
      <c r="C15" s="289">
        <f>300</f>
        <v>300</v>
      </c>
      <c r="D15" s="290">
        <v>60</v>
      </c>
      <c r="E15" s="291">
        <v>30</v>
      </c>
      <c r="F15" s="290">
        <v>42</v>
      </c>
      <c r="G15" s="289">
        <v>205</v>
      </c>
      <c r="H15" s="289">
        <v>0</v>
      </c>
      <c r="I15" s="289">
        <v>60</v>
      </c>
      <c r="J15" s="289">
        <v>0</v>
      </c>
      <c r="K15" s="289">
        <v>0</v>
      </c>
      <c r="L15" s="291">
        <v>10</v>
      </c>
      <c r="M15" s="291">
        <v>21</v>
      </c>
      <c r="N15" s="291">
        <v>21</v>
      </c>
      <c r="O15" s="290">
        <v>0.62040000000000006</v>
      </c>
      <c r="P15" s="290">
        <v>0.24009999999999998</v>
      </c>
      <c r="Q15" s="290">
        <v>1.1857</v>
      </c>
      <c r="R15" s="290">
        <v>7.0000000000000007E-2</v>
      </c>
      <c r="S15" s="299"/>
      <c r="T15" s="299">
        <v>0.4</v>
      </c>
      <c r="U15" s="300">
        <v>5</v>
      </c>
      <c r="W15" s="272" t="s">
        <v>1182</v>
      </c>
    </row>
    <row r="16" spans="1:23" ht="15">
      <c r="A16" s="271"/>
      <c r="B16" s="289" t="s">
        <v>1478</v>
      </c>
      <c r="C16" s="294">
        <v>300</v>
      </c>
      <c r="D16" s="290">
        <v>60</v>
      </c>
      <c r="E16" s="291">
        <v>30</v>
      </c>
      <c r="F16" s="290">
        <v>42</v>
      </c>
      <c r="G16" s="294">
        <v>205</v>
      </c>
      <c r="H16" s="289">
        <v>0</v>
      </c>
      <c r="I16" s="294">
        <v>60</v>
      </c>
      <c r="J16" s="294">
        <v>0</v>
      </c>
      <c r="K16" s="294">
        <v>0</v>
      </c>
      <c r="L16" s="291">
        <v>10</v>
      </c>
      <c r="M16" s="291">
        <v>21</v>
      </c>
      <c r="N16" s="291">
        <v>21</v>
      </c>
      <c r="O16" s="290">
        <v>0.5</v>
      </c>
      <c r="P16" s="290">
        <v>0.21</v>
      </c>
      <c r="Q16" s="290">
        <v>0.76</v>
      </c>
      <c r="R16" s="290">
        <v>7.0000000000000007E-2</v>
      </c>
      <c r="S16" s="299"/>
      <c r="T16" s="299">
        <v>0.4</v>
      </c>
      <c r="U16" s="300">
        <v>5</v>
      </c>
      <c r="W16" s="272" t="s">
        <v>1183</v>
      </c>
    </row>
    <row r="17" spans="1:23" ht="15">
      <c r="A17" s="271">
        <v>1</v>
      </c>
      <c r="B17" s="289" t="s">
        <v>1481</v>
      </c>
      <c r="C17" s="289">
        <v>700</v>
      </c>
      <c r="D17" s="290">
        <v>61</v>
      </c>
      <c r="E17" s="291">
        <v>30</v>
      </c>
      <c r="F17" s="290">
        <v>42.7</v>
      </c>
      <c r="G17" s="289">
        <v>180</v>
      </c>
      <c r="H17" s="289">
        <v>0</v>
      </c>
      <c r="I17" s="289">
        <v>60</v>
      </c>
      <c r="J17" s="289">
        <v>0</v>
      </c>
      <c r="K17" s="289">
        <v>0</v>
      </c>
      <c r="L17" s="291">
        <v>10</v>
      </c>
      <c r="M17" s="291">
        <v>18</v>
      </c>
      <c r="N17" s="291">
        <v>18</v>
      </c>
      <c r="O17" s="290">
        <v>0.2</v>
      </c>
      <c r="P17" s="290">
        <v>7.0000000000000007E-2</v>
      </c>
      <c r="Q17" s="290">
        <v>0.26</v>
      </c>
      <c r="R17" s="290">
        <v>0.06</v>
      </c>
      <c r="S17" s="299"/>
      <c r="T17" s="289"/>
      <c r="U17" s="300">
        <v>10</v>
      </c>
      <c r="W17" s="272" t="s">
        <v>1184</v>
      </c>
    </row>
    <row r="18" spans="1:23" ht="15">
      <c r="A18" s="271"/>
      <c r="B18" s="289" t="s">
        <v>1482</v>
      </c>
      <c r="C18" s="289">
        <v>720</v>
      </c>
      <c r="D18" s="290">
        <v>15</v>
      </c>
      <c r="E18" s="291">
        <v>30</v>
      </c>
      <c r="F18" s="290">
        <v>10.5</v>
      </c>
      <c r="G18" s="289">
        <v>290</v>
      </c>
      <c r="H18" s="289">
        <v>0</v>
      </c>
      <c r="I18" s="289">
        <v>60</v>
      </c>
      <c r="J18" s="289">
        <v>0</v>
      </c>
      <c r="K18" s="289">
        <v>0</v>
      </c>
      <c r="L18" s="291">
        <v>10</v>
      </c>
      <c r="M18" s="291">
        <v>29</v>
      </c>
      <c r="N18" s="291">
        <v>29</v>
      </c>
      <c r="O18" s="290">
        <v>0.33</v>
      </c>
      <c r="P18" s="290">
        <v>0.11</v>
      </c>
      <c r="Q18" s="290">
        <v>0.53</v>
      </c>
      <c r="R18" s="290">
        <v>0.02</v>
      </c>
      <c r="S18" s="299"/>
      <c r="T18" s="289">
        <v>0.1</v>
      </c>
      <c r="U18" s="300">
        <v>10</v>
      </c>
      <c r="W18" s="272" t="s">
        <v>1185</v>
      </c>
    </row>
    <row r="19" spans="1:23" ht="15">
      <c r="A19" s="271"/>
      <c r="B19" s="289" t="s">
        <v>1626</v>
      </c>
      <c r="C19" s="294">
        <v>300</v>
      </c>
      <c r="D19" s="290">
        <v>50</v>
      </c>
      <c r="E19" s="291">
        <v>30</v>
      </c>
      <c r="F19" s="290">
        <v>35</v>
      </c>
      <c r="G19" s="294">
        <v>185</v>
      </c>
      <c r="H19" s="289">
        <v>0</v>
      </c>
      <c r="I19" s="294">
        <v>60</v>
      </c>
      <c r="J19" s="294">
        <v>0</v>
      </c>
      <c r="K19" s="294">
        <v>0</v>
      </c>
      <c r="L19" s="291">
        <v>10</v>
      </c>
      <c r="M19" s="291">
        <v>19</v>
      </c>
      <c r="N19" s="291">
        <v>19</v>
      </c>
      <c r="O19" s="290">
        <v>0.49</v>
      </c>
      <c r="P19" s="290">
        <v>0.19</v>
      </c>
      <c r="Q19" s="290">
        <v>0.79</v>
      </c>
      <c r="R19" s="290">
        <v>0.16</v>
      </c>
      <c r="S19" s="299"/>
      <c r="T19" s="299">
        <v>0.1</v>
      </c>
      <c r="U19" s="300">
        <v>6</v>
      </c>
      <c r="W19" s="272" t="s">
        <v>1186</v>
      </c>
    </row>
    <row r="20" spans="1:23" ht="15">
      <c r="A20" s="271"/>
      <c r="B20" s="289" t="s">
        <v>1627</v>
      </c>
      <c r="C20" s="289">
        <f>13</f>
        <v>13</v>
      </c>
      <c r="D20" s="290">
        <v>10</v>
      </c>
      <c r="E20" s="291">
        <v>30</v>
      </c>
      <c r="F20" s="290">
        <v>7</v>
      </c>
      <c r="G20" s="289">
        <v>95</v>
      </c>
      <c r="H20" s="289">
        <v>0</v>
      </c>
      <c r="I20" s="289">
        <v>30</v>
      </c>
      <c r="J20" s="289">
        <v>0</v>
      </c>
      <c r="K20" s="289">
        <v>0</v>
      </c>
      <c r="L20" s="291">
        <v>10</v>
      </c>
      <c r="M20" s="291">
        <v>10</v>
      </c>
      <c r="N20" s="291">
        <v>10</v>
      </c>
      <c r="O20" s="290">
        <v>5.5807692307692305</v>
      </c>
      <c r="P20" s="290">
        <v>3.2015384615384614</v>
      </c>
      <c r="Q20" s="290">
        <v>11.807692307692308</v>
      </c>
      <c r="R20" s="290">
        <v>1.1615384615384616</v>
      </c>
      <c r="S20" s="299"/>
      <c r="T20" s="299"/>
      <c r="U20" s="300">
        <v>1.5</v>
      </c>
      <c r="W20" s="272" t="s">
        <v>1274</v>
      </c>
    </row>
    <row r="21" spans="1:23" ht="15">
      <c r="A21" s="271">
        <v>1</v>
      </c>
      <c r="B21" s="289" t="s">
        <v>1628</v>
      </c>
      <c r="C21" s="289">
        <v>13</v>
      </c>
      <c r="D21" s="290">
        <v>10</v>
      </c>
      <c r="E21" s="291">
        <v>30</v>
      </c>
      <c r="F21" s="290">
        <v>7</v>
      </c>
      <c r="G21" s="289">
        <v>95</v>
      </c>
      <c r="H21" s="289">
        <v>0</v>
      </c>
      <c r="I21" s="289">
        <v>30</v>
      </c>
      <c r="J21" s="289">
        <v>0</v>
      </c>
      <c r="K21" s="289">
        <v>0</v>
      </c>
      <c r="L21" s="291">
        <v>10</v>
      </c>
      <c r="M21" s="291">
        <v>10</v>
      </c>
      <c r="N21" s="291">
        <v>10</v>
      </c>
      <c r="O21" s="290">
        <v>2.65</v>
      </c>
      <c r="P21" s="290">
        <v>1.1499999999999999</v>
      </c>
      <c r="Q21" s="290">
        <v>1.55</v>
      </c>
      <c r="R21" s="290">
        <v>0.38</v>
      </c>
      <c r="S21" s="299"/>
      <c r="T21" s="299">
        <v>9.8000000000000007</v>
      </c>
      <c r="U21" s="300">
        <v>1.5</v>
      </c>
      <c r="W21" s="272" t="s">
        <v>1273</v>
      </c>
    </row>
    <row r="22" spans="1:23" ht="15">
      <c r="A22" s="271"/>
      <c r="B22" s="289" t="s">
        <v>1483</v>
      </c>
      <c r="C22" s="289">
        <v>150</v>
      </c>
      <c r="D22" s="290">
        <v>15</v>
      </c>
      <c r="E22" s="291">
        <v>30</v>
      </c>
      <c r="F22" s="290">
        <v>10.5</v>
      </c>
      <c r="G22" s="289">
        <v>80</v>
      </c>
      <c r="H22" s="289">
        <v>0</v>
      </c>
      <c r="I22" s="289">
        <v>60</v>
      </c>
      <c r="J22" s="289">
        <v>0</v>
      </c>
      <c r="K22" s="289">
        <v>0</v>
      </c>
      <c r="L22" s="291">
        <v>10</v>
      </c>
      <c r="M22" s="291">
        <v>8</v>
      </c>
      <c r="N22" s="291">
        <v>8</v>
      </c>
      <c r="O22" s="290">
        <v>0.41</v>
      </c>
      <c r="P22" s="290">
        <v>0.08</v>
      </c>
      <c r="Q22" s="290">
        <v>0.8</v>
      </c>
      <c r="R22" s="290">
        <v>0.09</v>
      </c>
      <c r="S22" s="299"/>
      <c r="T22" s="289"/>
      <c r="U22" s="300">
        <v>10</v>
      </c>
      <c r="W22" s="272" t="s">
        <v>1272</v>
      </c>
    </row>
    <row r="23" spans="1:23" ht="15">
      <c r="A23" s="271">
        <v>1</v>
      </c>
      <c r="B23" s="289" t="s">
        <v>1629</v>
      </c>
      <c r="C23" s="289">
        <f>25</f>
        <v>25</v>
      </c>
      <c r="D23" s="290">
        <v>16.666666666666668</v>
      </c>
      <c r="E23" s="291">
        <v>30</v>
      </c>
      <c r="F23" s="290">
        <v>11.666666666666668</v>
      </c>
      <c r="G23" s="289">
        <v>150</v>
      </c>
      <c r="H23" s="289">
        <v>0</v>
      </c>
      <c r="I23" s="289">
        <v>60</v>
      </c>
      <c r="J23" s="289">
        <v>0</v>
      </c>
      <c r="K23" s="289">
        <v>0</v>
      </c>
      <c r="L23" s="291">
        <v>10</v>
      </c>
      <c r="M23" s="291">
        <v>15</v>
      </c>
      <c r="N23" s="291">
        <v>15</v>
      </c>
      <c r="O23" s="290">
        <v>5.12</v>
      </c>
      <c r="P23" s="290">
        <v>2.2200000000000002</v>
      </c>
      <c r="Q23" s="290">
        <v>9.48</v>
      </c>
      <c r="R23" s="290">
        <v>1.03</v>
      </c>
      <c r="S23" s="299"/>
      <c r="T23" s="299"/>
      <c r="U23" s="300">
        <v>1.5</v>
      </c>
      <c r="W23" s="272" t="s">
        <v>1271</v>
      </c>
    </row>
    <row r="24" spans="1:23" ht="15">
      <c r="A24" s="271"/>
      <c r="B24" s="289" t="s">
        <v>1484</v>
      </c>
      <c r="C24" s="289">
        <v>25</v>
      </c>
      <c r="D24" s="290">
        <v>16.666666666666668</v>
      </c>
      <c r="E24" s="291">
        <v>30</v>
      </c>
      <c r="F24" s="290">
        <v>11.666666666666668</v>
      </c>
      <c r="G24" s="289">
        <v>150</v>
      </c>
      <c r="H24" s="289">
        <v>0</v>
      </c>
      <c r="I24" s="289">
        <v>60</v>
      </c>
      <c r="J24" s="289">
        <v>0</v>
      </c>
      <c r="K24" s="289">
        <v>0</v>
      </c>
      <c r="L24" s="291">
        <v>10</v>
      </c>
      <c r="M24" s="291">
        <v>15</v>
      </c>
      <c r="N24" s="291">
        <v>15</v>
      </c>
      <c r="O24" s="290">
        <v>2.78</v>
      </c>
      <c r="P24" s="290">
        <v>1.26</v>
      </c>
      <c r="Q24" s="290">
        <v>2.58</v>
      </c>
      <c r="R24" s="290">
        <v>0.43</v>
      </c>
      <c r="S24" s="299"/>
      <c r="T24" s="299">
        <v>6</v>
      </c>
      <c r="U24" s="300">
        <v>1.5</v>
      </c>
      <c r="W24" s="272" t="s">
        <v>1270</v>
      </c>
    </row>
    <row r="25" spans="1:23" ht="30">
      <c r="A25" s="271"/>
      <c r="B25" s="289" t="s">
        <v>1630</v>
      </c>
      <c r="C25" s="289">
        <f>75</f>
        <v>75</v>
      </c>
      <c r="D25" s="290">
        <v>60</v>
      </c>
      <c r="E25" s="291">
        <v>30</v>
      </c>
      <c r="F25" s="290">
        <v>42</v>
      </c>
      <c r="G25" s="289">
        <v>80</v>
      </c>
      <c r="H25" s="289">
        <v>0</v>
      </c>
      <c r="I25" s="289">
        <v>60</v>
      </c>
      <c r="J25" s="289">
        <v>0</v>
      </c>
      <c r="K25" s="289">
        <v>0</v>
      </c>
      <c r="L25" s="291">
        <v>10</v>
      </c>
      <c r="M25" s="291">
        <v>8</v>
      </c>
      <c r="N25" s="291">
        <v>8</v>
      </c>
      <c r="O25" s="290">
        <v>0.78333333333333344</v>
      </c>
      <c r="P25" s="290">
        <v>0.41666666666666663</v>
      </c>
      <c r="Q25" s="290">
        <v>1.37</v>
      </c>
      <c r="R25" s="290">
        <v>0.24</v>
      </c>
      <c r="S25" s="299"/>
      <c r="T25" s="299"/>
      <c r="U25" s="300">
        <v>5</v>
      </c>
      <c r="W25" s="272" t="s">
        <v>1269</v>
      </c>
    </row>
    <row r="26" spans="1:23" ht="30">
      <c r="A26" s="271"/>
      <c r="B26" s="289" t="s">
        <v>1631</v>
      </c>
      <c r="C26" s="289">
        <v>75</v>
      </c>
      <c r="D26" s="290">
        <v>60</v>
      </c>
      <c r="E26" s="291">
        <v>30</v>
      </c>
      <c r="F26" s="290">
        <v>42</v>
      </c>
      <c r="G26" s="289">
        <v>80</v>
      </c>
      <c r="H26" s="289">
        <v>0</v>
      </c>
      <c r="I26" s="289">
        <v>60</v>
      </c>
      <c r="J26" s="289">
        <v>0</v>
      </c>
      <c r="K26" s="289">
        <v>0</v>
      </c>
      <c r="L26" s="291">
        <v>10</v>
      </c>
      <c r="M26" s="291">
        <v>8</v>
      </c>
      <c r="N26" s="291">
        <v>8</v>
      </c>
      <c r="O26" s="290">
        <v>0.4</v>
      </c>
      <c r="P26" s="290">
        <v>0.25</v>
      </c>
      <c r="Q26" s="290">
        <v>0.47</v>
      </c>
      <c r="R26" s="290">
        <v>0.12</v>
      </c>
      <c r="S26" s="299"/>
      <c r="T26" s="299">
        <v>1.7</v>
      </c>
      <c r="U26" s="300">
        <v>5</v>
      </c>
      <c r="W26" s="272" t="s">
        <v>1268</v>
      </c>
    </row>
    <row r="27" spans="1:23" ht="15">
      <c r="A27" s="271">
        <v>1</v>
      </c>
      <c r="B27" s="289" t="s">
        <v>1485</v>
      </c>
      <c r="C27" s="289">
        <f>20</f>
        <v>20</v>
      </c>
      <c r="D27" s="290">
        <v>4</v>
      </c>
      <c r="E27" s="291">
        <v>30</v>
      </c>
      <c r="F27" s="290">
        <v>2.8</v>
      </c>
      <c r="G27" s="289">
        <v>100</v>
      </c>
      <c r="H27" s="289">
        <v>0</v>
      </c>
      <c r="I27" s="289">
        <v>30</v>
      </c>
      <c r="J27" s="289">
        <v>0</v>
      </c>
      <c r="K27" s="289">
        <v>0</v>
      </c>
      <c r="L27" s="291">
        <v>10</v>
      </c>
      <c r="M27" s="291">
        <v>10</v>
      </c>
      <c r="N27" s="291">
        <v>10</v>
      </c>
      <c r="O27" s="290">
        <v>4.0999999999999996</v>
      </c>
      <c r="P27" s="290">
        <v>1.25</v>
      </c>
      <c r="Q27" s="290">
        <v>4.6700000000000008</v>
      </c>
      <c r="R27" s="290">
        <v>0.88</v>
      </c>
      <c r="S27" s="299"/>
      <c r="T27" s="299"/>
      <c r="U27" s="300">
        <v>5</v>
      </c>
      <c r="W27" s="272" t="s">
        <v>1267</v>
      </c>
    </row>
    <row r="28" spans="1:23" ht="15">
      <c r="A28" s="271"/>
      <c r="B28" s="289" t="s">
        <v>1486</v>
      </c>
      <c r="C28" s="289">
        <v>20</v>
      </c>
      <c r="D28" s="290">
        <v>4</v>
      </c>
      <c r="E28" s="291">
        <v>30</v>
      </c>
      <c r="F28" s="290">
        <v>2.8</v>
      </c>
      <c r="G28" s="289">
        <v>100</v>
      </c>
      <c r="H28" s="289">
        <v>0</v>
      </c>
      <c r="I28" s="289">
        <v>30</v>
      </c>
      <c r="J28" s="289">
        <v>0</v>
      </c>
      <c r="K28" s="289">
        <v>0</v>
      </c>
      <c r="L28" s="291">
        <v>10</v>
      </c>
      <c r="M28" s="291">
        <v>10</v>
      </c>
      <c r="N28" s="291">
        <v>10</v>
      </c>
      <c r="O28" s="290">
        <v>0.75</v>
      </c>
      <c r="P28" s="290">
        <v>0.25</v>
      </c>
      <c r="Q28" s="290">
        <v>0.62</v>
      </c>
      <c r="R28" s="290">
        <v>0.23</v>
      </c>
      <c r="S28" s="299"/>
      <c r="T28" s="299">
        <v>5</v>
      </c>
      <c r="U28" s="300">
        <v>5</v>
      </c>
      <c r="W28" s="272" t="s">
        <v>1266</v>
      </c>
    </row>
    <row r="29" spans="1:23" ht="15">
      <c r="A29" s="271"/>
      <c r="B29" s="289" t="s">
        <v>1487</v>
      </c>
      <c r="C29" s="289">
        <f>150</f>
        <v>150</v>
      </c>
      <c r="D29" s="290">
        <v>30</v>
      </c>
      <c r="E29" s="291">
        <v>30</v>
      </c>
      <c r="F29" s="290">
        <v>21</v>
      </c>
      <c r="G29" s="289">
        <v>120</v>
      </c>
      <c r="H29" s="289">
        <v>0</v>
      </c>
      <c r="I29" s="289">
        <v>30</v>
      </c>
      <c r="J29" s="289">
        <v>0</v>
      </c>
      <c r="K29" s="289">
        <v>0</v>
      </c>
      <c r="L29" s="291">
        <v>10</v>
      </c>
      <c r="M29" s="291">
        <v>12</v>
      </c>
      <c r="N29" s="291">
        <v>12</v>
      </c>
      <c r="O29" s="290">
        <v>0.66333333333333333</v>
      </c>
      <c r="P29" s="290">
        <v>0.32333333333333336</v>
      </c>
      <c r="Q29" s="290">
        <v>1.0766666666666667</v>
      </c>
      <c r="R29" s="290">
        <v>0.14000000000000001</v>
      </c>
      <c r="S29" s="299"/>
      <c r="T29" s="299"/>
      <c r="U29" s="300">
        <v>5</v>
      </c>
      <c r="W29" s="272" t="s">
        <v>1265</v>
      </c>
    </row>
    <row r="30" spans="1:23" ht="15">
      <c r="A30" s="271">
        <v>1</v>
      </c>
      <c r="B30" s="289" t="s">
        <v>1488</v>
      </c>
      <c r="C30" s="289">
        <v>150</v>
      </c>
      <c r="D30" s="290">
        <v>30</v>
      </c>
      <c r="E30" s="291">
        <v>30</v>
      </c>
      <c r="F30" s="290">
        <v>21</v>
      </c>
      <c r="G30" s="289">
        <v>120</v>
      </c>
      <c r="H30" s="289">
        <v>0</v>
      </c>
      <c r="I30" s="289">
        <v>30</v>
      </c>
      <c r="J30" s="289">
        <v>0</v>
      </c>
      <c r="K30" s="289">
        <v>0</v>
      </c>
      <c r="L30" s="291">
        <v>10</v>
      </c>
      <c r="M30" s="291">
        <v>12</v>
      </c>
      <c r="N30" s="291">
        <v>12</v>
      </c>
      <c r="O30" s="290">
        <v>0.28999999999999998</v>
      </c>
      <c r="P30" s="290">
        <v>0.19</v>
      </c>
      <c r="Q30" s="290">
        <v>0.41</v>
      </c>
      <c r="R30" s="290">
        <v>0.06</v>
      </c>
      <c r="S30" s="299"/>
      <c r="T30" s="299">
        <v>1.3</v>
      </c>
      <c r="U30" s="300">
        <v>5</v>
      </c>
      <c r="W30" s="273" t="s">
        <v>1264</v>
      </c>
    </row>
    <row r="31" spans="1:23" ht="15">
      <c r="A31" s="271"/>
      <c r="B31" s="289" t="s">
        <v>1632</v>
      </c>
      <c r="C31" s="294">
        <v>185</v>
      </c>
      <c r="D31" s="290">
        <v>37</v>
      </c>
      <c r="E31" s="291">
        <v>30</v>
      </c>
      <c r="F31" s="290">
        <v>25.9</v>
      </c>
      <c r="G31" s="294">
        <v>150</v>
      </c>
      <c r="H31" s="289">
        <v>0</v>
      </c>
      <c r="I31" s="294">
        <v>30</v>
      </c>
      <c r="J31" s="294">
        <v>0</v>
      </c>
      <c r="K31" s="294">
        <v>0</v>
      </c>
      <c r="L31" s="291">
        <v>10</v>
      </c>
      <c r="M31" s="291">
        <v>15</v>
      </c>
      <c r="N31" s="291">
        <v>15</v>
      </c>
      <c r="O31" s="290">
        <v>0.71</v>
      </c>
      <c r="P31" s="290">
        <v>0.26</v>
      </c>
      <c r="Q31" s="290">
        <v>0.79</v>
      </c>
      <c r="R31" s="290">
        <v>0.14000000000000001</v>
      </c>
      <c r="S31" s="299"/>
      <c r="T31" s="299"/>
      <c r="U31" s="299">
        <v>5</v>
      </c>
      <c r="W31" s="272" t="s">
        <v>1263</v>
      </c>
    </row>
    <row r="32" spans="1:23" ht="15">
      <c r="A32" s="271">
        <v>1</v>
      </c>
      <c r="B32" s="289" t="s">
        <v>1489</v>
      </c>
      <c r="C32" s="289">
        <v>20</v>
      </c>
      <c r="D32" s="290">
        <v>2</v>
      </c>
      <c r="E32" s="291">
        <v>30</v>
      </c>
      <c r="F32" s="290">
        <v>1.4</v>
      </c>
      <c r="G32" s="289">
        <v>10</v>
      </c>
      <c r="H32" s="289">
        <v>0</v>
      </c>
      <c r="I32" s="289">
        <v>30</v>
      </c>
      <c r="J32" s="289">
        <v>0</v>
      </c>
      <c r="K32" s="289">
        <v>0</v>
      </c>
      <c r="L32" s="291">
        <v>10</v>
      </c>
      <c r="M32" s="291">
        <v>1</v>
      </c>
      <c r="N32" s="291">
        <v>1</v>
      </c>
      <c r="O32" s="290">
        <v>0.5</v>
      </c>
      <c r="P32" s="290">
        <v>0.75</v>
      </c>
      <c r="Q32" s="290">
        <v>0.4</v>
      </c>
      <c r="R32" s="290">
        <v>0.2</v>
      </c>
      <c r="S32" s="299"/>
      <c r="T32" s="289"/>
      <c r="U32" s="300">
        <v>10</v>
      </c>
      <c r="W32" s="272" t="s">
        <v>1262</v>
      </c>
    </row>
    <row r="33" spans="1:23" ht="30">
      <c r="A33" s="271"/>
      <c r="B33" s="289" t="s">
        <v>1633</v>
      </c>
      <c r="C33" s="294">
        <f>100</f>
        <v>100</v>
      </c>
      <c r="D33" s="290">
        <v>6.25</v>
      </c>
      <c r="E33" s="291">
        <v>30</v>
      </c>
      <c r="F33" s="290">
        <v>4.375</v>
      </c>
      <c r="G33" s="294">
        <v>85</v>
      </c>
      <c r="H33" s="289">
        <v>0</v>
      </c>
      <c r="I33" s="294">
        <v>30</v>
      </c>
      <c r="J33" s="294">
        <v>0</v>
      </c>
      <c r="K33" s="294">
        <v>0</v>
      </c>
      <c r="L33" s="291">
        <v>10</v>
      </c>
      <c r="M33" s="291">
        <v>8.5</v>
      </c>
      <c r="N33" s="291">
        <v>8.5</v>
      </c>
      <c r="O33" s="290">
        <v>0.63400000000000001</v>
      </c>
      <c r="P33" s="290">
        <v>0.43</v>
      </c>
      <c r="Q33" s="290">
        <v>0.80400000000000005</v>
      </c>
      <c r="R33" s="290">
        <v>0.156</v>
      </c>
      <c r="S33" s="299"/>
      <c r="T33" s="299"/>
      <c r="U33" s="299">
        <v>4</v>
      </c>
      <c r="W33" s="272" t="s">
        <v>1261</v>
      </c>
    </row>
    <row r="34" spans="1:23" ht="15">
      <c r="A34" s="271"/>
      <c r="B34" s="289" t="s">
        <v>1634</v>
      </c>
      <c r="C34" s="294">
        <v>100</v>
      </c>
      <c r="D34" s="290">
        <v>6.25</v>
      </c>
      <c r="E34" s="291">
        <v>30</v>
      </c>
      <c r="F34" s="290">
        <v>4.375</v>
      </c>
      <c r="G34" s="294">
        <v>85</v>
      </c>
      <c r="H34" s="289">
        <v>0</v>
      </c>
      <c r="I34" s="294">
        <v>30</v>
      </c>
      <c r="J34" s="294">
        <v>0</v>
      </c>
      <c r="K34" s="294">
        <v>0</v>
      </c>
      <c r="L34" s="291">
        <v>10</v>
      </c>
      <c r="M34" s="291">
        <v>8.5</v>
      </c>
      <c r="N34" s="291">
        <v>8.5</v>
      </c>
      <c r="O34" s="290">
        <v>0.49</v>
      </c>
      <c r="P34" s="290">
        <v>0.35</v>
      </c>
      <c r="Q34" s="290">
        <v>0.59</v>
      </c>
      <c r="R34" s="290">
        <v>0.12</v>
      </c>
      <c r="S34" s="299"/>
      <c r="T34" s="299">
        <v>0.2</v>
      </c>
      <c r="U34" s="299">
        <v>4</v>
      </c>
      <c r="W34" s="272" t="s">
        <v>1260</v>
      </c>
    </row>
    <row r="35" spans="1:23" ht="15">
      <c r="A35" s="271"/>
      <c r="B35" s="289" t="s">
        <v>1490</v>
      </c>
      <c r="C35" s="289">
        <v>150</v>
      </c>
      <c r="D35" s="290">
        <v>15</v>
      </c>
      <c r="E35" s="291">
        <v>30</v>
      </c>
      <c r="F35" s="290">
        <v>10.5</v>
      </c>
      <c r="G35" s="289">
        <v>120</v>
      </c>
      <c r="H35" s="289">
        <v>0</v>
      </c>
      <c r="I35" s="289">
        <v>30</v>
      </c>
      <c r="J35" s="289">
        <v>0</v>
      </c>
      <c r="K35" s="289">
        <v>0</v>
      </c>
      <c r="L35" s="291">
        <v>10</v>
      </c>
      <c r="M35" s="291">
        <v>12</v>
      </c>
      <c r="N35" s="291">
        <v>12</v>
      </c>
      <c r="O35" s="290">
        <v>0.43</v>
      </c>
      <c r="P35" s="290">
        <v>0.08</v>
      </c>
      <c r="Q35" s="290">
        <v>0.67</v>
      </c>
      <c r="R35" s="290">
        <v>7.0000000000000007E-2</v>
      </c>
      <c r="S35" s="299"/>
      <c r="T35" s="289"/>
      <c r="U35" s="300">
        <v>10</v>
      </c>
      <c r="W35" s="272" t="s">
        <v>1259</v>
      </c>
    </row>
    <row r="36" spans="1:23" ht="15">
      <c r="A36" s="271"/>
      <c r="B36" s="289" t="s">
        <v>1635</v>
      </c>
      <c r="C36" s="294">
        <f>110</f>
        <v>110</v>
      </c>
      <c r="D36" s="290">
        <v>27.5</v>
      </c>
      <c r="E36" s="291">
        <v>30</v>
      </c>
      <c r="F36" s="290">
        <v>19.25</v>
      </c>
      <c r="G36" s="294">
        <v>120</v>
      </c>
      <c r="H36" s="289">
        <v>0</v>
      </c>
      <c r="I36" s="294">
        <v>60</v>
      </c>
      <c r="J36" s="294">
        <v>0</v>
      </c>
      <c r="K36" s="294">
        <v>0</v>
      </c>
      <c r="L36" s="291">
        <v>10</v>
      </c>
      <c r="M36" s="291">
        <v>12</v>
      </c>
      <c r="N36" s="291">
        <v>12</v>
      </c>
      <c r="O36" s="290">
        <v>0.73</v>
      </c>
      <c r="P36" s="290">
        <v>0.39727272727272728</v>
      </c>
      <c r="Q36" s="290">
        <v>1.6236363636363633</v>
      </c>
      <c r="R36" s="290">
        <v>0.12090909090909091</v>
      </c>
      <c r="S36" s="299"/>
      <c r="T36" s="299"/>
      <c r="U36" s="299">
        <v>4</v>
      </c>
      <c r="W36" s="272" t="s">
        <v>1258</v>
      </c>
    </row>
    <row r="37" spans="1:23" ht="15">
      <c r="A37" s="271"/>
      <c r="B37" s="289" t="s">
        <v>1636</v>
      </c>
      <c r="C37" s="294">
        <v>110</v>
      </c>
      <c r="D37" s="290">
        <v>27.5</v>
      </c>
      <c r="E37" s="291">
        <v>30</v>
      </c>
      <c r="F37" s="290">
        <v>19.25</v>
      </c>
      <c r="G37" s="294">
        <v>120</v>
      </c>
      <c r="H37" s="289">
        <v>0</v>
      </c>
      <c r="I37" s="294">
        <v>60</v>
      </c>
      <c r="J37" s="294">
        <v>0</v>
      </c>
      <c r="K37" s="294">
        <v>0</v>
      </c>
      <c r="L37" s="291">
        <v>10</v>
      </c>
      <c r="M37" s="291">
        <v>12</v>
      </c>
      <c r="N37" s="291">
        <v>12</v>
      </c>
      <c r="O37" s="290">
        <v>0.49</v>
      </c>
      <c r="P37" s="290">
        <v>0.23</v>
      </c>
      <c r="Q37" s="290">
        <v>0.94</v>
      </c>
      <c r="R37" s="290">
        <v>7.0000000000000007E-2</v>
      </c>
      <c r="S37" s="299"/>
      <c r="T37" s="299"/>
      <c r="U37" s="299">
        <v>4</v>
      </c>
      <c r="W37" s="272" t="s">
        <v>1257</v>
      </c>
    </row>
    <row r="38" spans="1:23" ht="15">
      <c r="A38" s="271">
        <v>1</v>
      </c>
      <c r="B38" s="289" t="s">
        <v>1491</v>
      </c>
      <c r="C38" s="289">
        <v>40</v>
      </c>
      <c r="D38" s="290">
        <v>4</v>
      </c>
      <c r="E38" s="291">
        <v>30</v>
      </c>
      <c r="F38" s="290">
        <v>2.8</v>
      </c>
      <c r="G38" s="289">
        <v>70</v>
      </c>
      <c r="H38" s="289">
        <v>0</v>
      </c>
      <c r="I38" s="289">
        <v>60</v>
      </c>
      <c r="J38" s="289">
        <v>0</v>
      </c>
      <c r="K38" s="289">
        <v>0</v>
      </c>
      <c r="L38" s="291">
        <v>10</v>
      </c>
      <c r="M38" s="291">
        <v>7</v>
      </c>
      <c r="N38" s="291">
        <v>7</v>
      </c>
      <c r="O38" s="290">
        <v>0.4</v>
      </c>
      <c r="P38" s="290">
        <v>0.16</v>
      </c>
      <c r="Q38" s="290">
        <v>0.48</v>
      </c>
      <c r="R38" s="290">
        <v>0.06</v>
      </c>
      <c r="S38" s="299"/>
      <c r="T38" s="299">
        <v>1.8</v>
      </c>
      <c r="U38" s="300">
        <v>10</v>
      </c>
      <c r="W38" s="272" t="s">
        <v>1256</v>
      </c>
    </row>
    <row r="39" spans="1:23" ht="15">
      <c r="A39" s="271"/>
      <c r="B39" s="289" t="s">
        <v>1492</v>
      </c>
      <c r="C39" s="289">
        <f>40</f>
        <v>40</v>
      </c>
      <c r="D39" s="290">
        <v>4</v>
      </c>
      <c r="E39" s="291">
        <v>30</v>
      </c>
      <c r="F39" s="290">
        <v>2.8</v>
      </c>
      <c r="G39" s="289">
        <v>70</v>
      </c>
      <c r="H39" s="289">
        <v>0</v>
      </c>
      <c r="I39" s="289">
        <v>60</v>
      </c>
      <c r="J39" s="289">
        <v>0</v>
      </c>
      <c r="K39" s="289">
        <v>0</v>
      </c>
      <c r="L39" s="291">
        <v>10</v>
      </c>
      <c r="M39" s="291">
        <v>7</v>
      </c>
      <c r="N39" s="291">
        <v>7</v>
      </c>
      <c r="O39" s="290">
        <v>1.2224999999999999</v>
      </c>
      <c r="P39" s="290">
        <v>0.44000000000000006</v>
      </c>
      <c r="Q39" s="290">
        <v>1.7749999999999999</v>
      </c>
      <c r="R39" s="290">
        <v>0.2525</v>
      </c>
      <c r="S39" s="299"/>
      <c r="T39" s="299"/>
      <c r="U39" s="300">
        <v>10</v>
      </c>
      <c r="W39" s="272" t="s">
        <v>1255</v>
      </c>
    </row>
    <row r="40" spans="1:23" ht="15">
      <c r="A40" s="271"/>
      <c r="B40" s="289" t="s">
        <v>1493</v>
      </c>
      <c r="C40" s="289">
        <f>60</f>
        <v>60</v>
      </c>
      <c r="D40" s="290">
        <v>12</v>
      </c>
      <c r="E40" s="291">
        <v>30</v>
      </c>
      <c r="F40" s="290">
        <v>8.4</v>
      </c>
      <c r="G40" s="289">
        <v>70</v>
      </c>
      <c r="H40" s="289">
        <v>0</v>
      </c>
      <c r="I40" s="289">
        <v>60</v>
      </c>
      <c r="J40" s="289">
        <v>0</v>
      </c>
      <c r="K40" s="289">
        <v>0</v>
      </c>
      <c r="L40" s="291">
        <v>10</v>
      </c>
      <c r="M40" s="291">
        <v>7</v>
      </c>
      <c r="N40" s="291">
        <v>7</v>
      </c>
      <c r="O40" s="290">
        <v>1.2283333333333333</v>
      </c>
      <c r="P40" s="290">
        <v>0.48666666666666669</v>
      </c>
      <c r="Q40" s="290">
        <v>1.5133333333333332</v>
      </c>
      <c r="R40" s="290">
        <v>0.22833333333333333</v>
      </c>
      <c r="S40" s="299"/>
      <c r="T40" s="289"/>
      <c r="U40" s="300">
        <v>5</v>
      </c>
      <c r="W40" s="272" t="s">
        <v>1254</v>
      </c>
    </row>
    <row r="41" spans="1:23" ht="15">
      <c r="A41" s="271"/>
      <c r="B41" s="289" t="s">
        <v>1494</v>
      </c>
      <c r="C41" s="289">
        <v>60</v>
      </c>
      <c r="D41" s="290">
        <v>12</v>
      </c>
      <c r="E41" s="291">
        <v>30</v>
      </c>
      <c r="F41" s="290">
        <v>8.4</v>
      </c>
      <c r="G41" s="289">
        <v>70</v>
      </c>
      <c r="H41" s="289">
        <v>0</v>
      </c>
      <c r="I41" s="289">
        <v>60</v>
      </c>
      <c r="J41" s="289">
        <v>0</v>
      </c>
      <c r="K41" s="289">
        <v>0</v>
      </c>
      <c r="L41" s="291">
        <v>10</v>
      </c>
      <c r="M41" s="291">
        <v>7</v>
      </c>
      <c r="N41" s="291">
        <v>7</v>
      </c>
      <c r="O41" s="290">
        <v>0.68</v>
      </c>
      <c r="P41" s="290">
        <v>0.3</v>
      </c>
      <c r="Q41" s="290">
        <v>0.65</v>
      </c>
      <c r="R41" s="290">
        <v>0.1</v>
      </c>
      <c r="S41" s="299"/>
      <c r="T41" s="299"/>
      <c r="U41" s="300">
        <v>5</v>
      </c>
      <c r="W41" s="272" t="s">
        <v>1253</v>
      </c>
    </row>
    <row r="42" spans="1:23" ht="15">
      <c r="A42" s="271"/>
      <c r="B42" s="289" t="s">
        <v>1495</v>
      </c>
      <c r="C42" s="289">
        <v>135</v>
      </c>
      <c r="D42" s="290">
        <v>27</v>
      </c>
      <c r="E42" s="291">
        <v>30</v>
      </c>
      <c r="F42" s="290">
        <v>18.899999999999999</v>
      </c>
      <c r="G42" s="289">
        <v>130</v>
      </c>
      <c r="H42" s="289">
        <v>0</v>
      </c>
      <c r="I42" s="289">
        <v>60</v>
      </c>
      <c r="J42" s="289">
        <v>0</v>
      </c>
      <c r="K42" s="289">
        <v>0</v>
      </c>
      <c r="L42" s="291">
        <v>10</v>
      </c>
      <c r="M42" s="291">
        <v>13</v>
      </c>
      <c r="N42" s="291">
        <v>13</v>
      </c>
      <c r="O42" s="290">
        <v>0.65</v>
      </c>
      <c r="P42" s="290">
        <v>0.16</v>
      </c>
      <c r="Q42" s="290">
        <v>0.74</v>
      </c>
      <c r="R42" s="290">
        <v>0.15</v>
      </c>
      <c r="S42" s="299"/>
      <c r="T42" s="289"/>
      <c r="U42" s="300">
        <v>5</v>
      </c>
      <c r="W42" s="272" t="s">
        <v>1252</v>
      </c>
    </row>
    <row r="43" spans="1:23" ht="15">
      <c r="A43" s="271"/>
      <c r="B43" s="289" t="s">
        <v>1637</v>
      </c>
      <c r="C43" s="294">
        <v>50</v>
      </c>
      <c r="D43" s="290">
        <v>10</v>
      </c>
      <c r="E43" s="291">
        <v>30</v>
      </c>
      <c r="F43" s="290">
        <v>7</v>
      </c>
      <c r="G43" s="294">
        <v>60</v>
      </c>
      <c r="H43" s="289">
        <v>0</v>
      </c>
      <c r="I43" s="294">
        <v>30</v>
      </c>
      <c r="J43" s="294">
        <v>0</v>
      </c>
      <c r="K43" s="294">
        <v>0</v>
      </c>
      <c r="L43" s="291">
        <v>10</v>
      </c>
      <c r="M43" s="291">
        <v>6</v>
      </c>
      <c r="N43" s="291">
        <v>6</v>
      </c>
      <c r="O43" s="290">
        <v>0.8</v>
      </c>
      <c r="P43" s="290">
        <v>0.38</v>
      </c>
      <c r="Q43" s="290">
        <v>1.36</v>
      </c>
      <c r="R43" s="290">
        <v>0.15</v>
      </c>
      <c r="S43" s="299"/>
      <c r="T43" s="299"/>
      <c r="U43" s="299">
        <v>5</v>
      </c>
      <c r="W43" s="272" t="s">
        <v>1251</v>
      </c>
    </row>
    <row r="44" spans="1:23" ht="15">
      <c r="A44" s="271">
        <v>1</v>
      </c>
      <c r="B44" s="289" t="s">
        <v>1638</v>
      </c>
      <c r="C44" s="294">
        <v>50</v>
      </c>
      <c r="D44" s="290">
        <v>10</v>
      </c>
      <c r="E44" s="291">
        <v>30</v>
      </c>
      <c r="F44" s="290">
        <v>7</v>
      </c>
      <c r="G44" s="294">
        <v>60</v>
      </c>
      <c r="H44" s="289">
        <v>0</v>
      </c>
      <c r="I44" s="294">
        <v>30</v>
      </c>
      <c r="J44" s="294">
        <v>0</v>
      </c>
      <c r="K44" s="294">
        <v>0</v>
      </c>
      <c r="L44" s="291">
        <v>10</v>
      </c>
      <c r="M44" s="291">
        <v>6</v>
      </c>
      <c r="N44" s="291">
        <v>6</v>
      </c>
      <c r="O44" s="290">
        <v>0.35</v>
      </c>
      <c r="P44" s="290">
        <v>0.17</v>
      </c>
      <c r="Q44" s="290">
        <v>0.51</v>
      </c>
      <c r="R44" s="290">
        <v>0.06</v>
      </c>
      <c r="S44" s="299"/>
      <c r="T44" s="299"/>
      <c r="U44" s="299">
        <v>5</v>
      </c>
      <c r="W44" s="272" t="s">
        <v>1250</v>
      </c>
    </row>
    <row r="45" spans="1:23" ht="15">
      <c r="A45" s="271"/>
      <c r="B45" s="289" t="s">
        <v>1639</v>
      </c>
      <c r="C45" s="289">
        <v>250</v>
      </c>
      <c r="D45" s="290">
        <v>50</v>
      </c>
      <c r="E45" s="291">
        <v>30</v>
      </c>
      <c r="F45" s="290">
        <v>35</v>
      </c>
      <c r="G45" s="289">
        <v>190</v>
      </c>
      <c r="H45" s="289">
        <v>0</v>
      </c>
      <c r="I45" s="289">
        <v>60</v>
      </c>
      <c r="J45" s="289">
        <v>0</v>
      </c>
      <c r="K45" s="289">
        <v>0</v>
      </c>
      <c r="L45" s="291">
        <v>10</v>
      </c>
      <c r="M45" s="291">
        <v>19</v>
      </c>
      <c r="N45" s="291">
        <v>19</v>
      </c>
      <c r="O45" s="290">
        <v>0.59</v>
      </c>
      <c r="P45" s="290">
        <v>0.15</v>
      </c>
      <c r="Q45" s="290">
        <v>0.76</v>
      </c>
      <c r="R45" s="290">
        <v>0.04</v>
      </c>
      <c r="S45" s="299"/>
      <c r="T45" s="289"/>
      <c r="U45" s="300">
        <v>5</v>
      </c>
      <c r="W45" s="272" t="s">
        <v>1249</v>
      </c>
    </row>
    <row r="46" spans="1:23" ht="15">
      <c r="A46" s="271"/>
      <c r="B46" s="289" t="s">
        <v>1496</v>
      </c>
      <c r="C46" s="289">
        <v>70</v>
      </c>
      <c r="D46" s="290">
        <v>14</v>
      </c>
      <c r="E46" s="291">
        <v>30</v>
      </c>
      <c r="F46" s="290">
        <v>9.8000000000000007</v>
      </c>
      <c r="G46" s="289">
        <v>155</v>
      </c>
      <c r="H46" s="289">
        <v>0</v>
      </c>
      <c r="I46" s="289">
        <v>60</v>
      </c>
      <c r="J46" s="289">
        <v>0</v>
      </c>
      <c r="K46" s="289">
        <v>0</v>
      </c>
      <c r="L46" s="291">
        <v>10</v>
      </c>
      <c r="M46" s="291">
        <v>15.5</v>
      </c>
      <c r="N46" s="291">
        <v>15.5</v>
      </c>
      <c r="O46" s="290">
        <v>1.9571428571428573</v>
      </c>
      <c r="P46" s="290">
        <v>0.92</v>
      </c>
      <c r="Q46" s="290">
        <v>3.5457142857142854</v>
      </c>
      <c r="R46" s="290">
        <v>0.38142857142857145</v>
      </c>
      <c r="S46" s="299"/>
      <c r="T46" s="299"/>
      <c r="U46" s="300">
        <v>5</v>
      </c>
      <c r="W46" s="272" t="s">
        <v>1248</v>
      </c>
    </row>
    <row r="47" spans="1:23" ht="15">
      <c r="A47" s="271">
        <v>1</v>
      </c>
      <c r="B47" s="289" t="s">
        <v>1497</v>
      </c>
      <c r="C47" s="289">
        <v>70</v>
      </c>
      <c r="D47" s="290">
        <v>14</v>
      </c>
      <c r="E47" s="291">
        <v>30</v>
      </c>
      <c r="F47" s="290">
        <v>9.8000000000000007</v>
      </c>
      <c r="G47" s="289">
        <v>155</v>
      </c>
      <c r="H47" s="289">
        <v>0</v>
      </c>
      <c r="I47" s="289">
        <v>60</v>
      </c>
      <c r="J47" s="289">
        <v>0</v>
      </c>
      <c r="K47" s="289">
        <v>0</v>
      </c>
      <c r="L47" s="291">
        <v>10</v>
      </c>
      <c r="M47" s="291">
        <v>15.5</v>
      </c>
      <c r="N47" s="291">
        <v>15.5</v>
      </c>
      <c r="O47" s="290">
        <v>0.35</v>
      </c>
      <c r="P47" s="290">
        <v>0.17</v>
      </c>
      <c r="Q47" s="290">
        <v>0.51</v>
      </c>
      <c r="R47" s="290">
        <v>0.06</v>
      </c>
      <c r="S47" s="299"/>
      <c r="T47" s="299">
        <v>3.6</v>
      </c>
      <c r="U47" s="300">
        <v>5</v>
      </c>
      <c r="W47" s="272" t="s">
        <v>1247</v>
      </c>
    </row>
    <row r="48" spans="1:23" ht="15">
      <c r="A48" s="271"/>
      <c r="B48" s="289" t="s">
        <v>1498</v>
      </c>
      <c r="C48" s="289">
        <v>5</v>
      </c>
      <c r="D48" s="290">
        <v>3.3333333333333335</v>
      </c>
      <c r="E48" s="291">
        <v>30</v>
      </c>
      <c r="F48" s="290">
        <v>2.3333333333333335</v>
      </c>
      <c r="G48" s="289">
        <v>55</v>
      </c>
      <c r="H48" s="289">
        <v>0</v>
      </c>
      <c r="I48" s="289">
        <v>60</v>
      </c>
      <c r="J48" s="289">
        <v>0</v>
      </c>
      <c r="K48" s="289">
        <v>0</v>
      </c>
      <c r="L48" s="291">
        <v>10</v>
      </c>
      <c r="M48" s="291">
        <v>3</v>
      </c>
      <c r="N48" s="291">
        <v>3</v>
      </c>
      <c r="O48" s="290">
        <v>6.59</v>
      </c>
      <c r="P48" s="290">
        <v>3.08</v>
      </c>
      <c r="Q48" s="290">
        <v>4.8099999999999996</v>
      </c>
      <c r="R48" s="290">
        <v>2</v>
      </c>
      <c r="S48" s="299"/>
      <c r="T48" s="299"/>
      <c r="U48" s="300">
        <v>1.5</v>
      </c>
      <c r="W48" s="272" t="s">
        <v>1246</v>
      </c>
    </row>
    <row r="49" spans="1:23" ht="15">
      <c r="A49" s="271">
        <v>1</v>
      </c>
      <c r="B49" s="289" t="s">
        <v>1499</v>
      </c>
      <c r="C49" s="289">
        <v>5</v>
      </c>
      <c r="D49" s="290">
        <v>3.3333333333333335</v>
      </c>
      <c r="E49" s="291">
        <v>30</v>
      </c>
      <c r="F49" s="290">
        <v>2.3333333333333335</v>
      </c>
      <c r="G49" s="289">
        <v>55</v>
      </c>
      <c r="H49" s="289">
        <v>0</v>
      </c>
      <c r="I49" s="289">
        <v>60</v>
      </c>
      <c r="J49" s="289">
        <v>0</v>
      </c>
      <c r="K49" s="289">
        <v>0</v>
      </c>
      <c r="L49" s="291">
        <v>10</v>
      </c>
      <c r="M49" s="291">
        <v>3</v>
      </c>
      <c r="N49" s="291">
        <v>3</v>
      </c>
      <c r="O49" s="290">
        <v>3.87</v>
      </c>
      <c r="P49" s="290">
        <v>1.4</v>
      </c>
      <c r="Q49" s="290">
        <v>1.53</v>
      </c>
      <c r="R49" s="290">
        <v>1.4</v>
      </c>
      <c r="S49" s="299">
        <v>4.5999999999999996</v>
      </c>
      <c r="T49" s="299">
        <v>4</v>
      </c>
      <c r="U49" s="300">
        <v>1.5</v>
      </c>
      <c r="W49" s="272" t="s">
        <v>1245</v>
      </c>
    </row>
    <row r="50" spans="1:23" ht="15">
      <c r="A50" s="271"/>
      <c r="B50" s="289" t="s">
        <v>1500</v>
      </c>
      <c r="C50" s="289">
        <v>450</v>
      </c>
      <c r="D50" s="290">
        <v>90</v>
      </c>
      <c r="E50" s="291">
        <v>30</v>
      </c>
      <c r="F50" s="290">
        <v>63</v>
      </c>
      <c r="G50" s="289">
        <v>185</v>
      </c>
      <c r="H50" s="289">
        <v>0</v>
      </c>
      <c r="I50" s="289">
        <v>30</v>
      </c>
      <c r="J50" s="289">
        <v>0</v>
      </c>
      <c r="K50" s="289">
        <v>0</v>
      </c>
      <c r="L50" s="291">
        <v>10</v>
      </c>
      <c r="M50" s="291">
        <v>18.5</v>
      </c>
      <c r="N50" s="291">
        <v>18.5</v>
      </c>
      <c r="O50" s="290">
        <v>0.32</v>
      </c>
      <c r="P50" s="290">
        <v>0.12</v>
      </c>
      <c r="Q50" s="290">
        <v>0.49</v>
      </c>
      <c r="R50" s="290">
        <v>7.0000000000000007E-2</v>
      </c>
      <c r="S50" s="289"/>
      <c r="T50" s="289"/>
      <c r="U50" s="300">
        <v>5</v>
      </c>
      <c r="W50" s="272" t="s">
        <v>1244</v>
      </c>
    </row>
    <row r="51" spans="1:23" ht="15">
      <c r="A51" s="271"/>
      <c r="B51" s="289" t="s">
        <v>1501</v>
      </c>
      <c r="C51" s="289">
        <v>300</v>
      </c>
      <c r="D51" s="290">
        <v>140</v>
      </c>
      <c r="E51" s="291">
        <v>30</v>
      </c>
      <c r="F51" s="290">
        <v>98</v>
      </c>
      <c r="G51" s="289">
        <v>110</v>
      </c>
      <c r="H51" s="289">
        <v>0</v>
      </c>
      <c r="I51" s="289">
        <v>60</v>
      </c>
      <c r="J51" s="289">
        <v>0</v>
      </c>
      <c r="K51" s="289">
        <v>0</v>
      </c>
      <c r="L51" s="291">
        <v>10</v>
      </c>
      <c r="M51" s="291">
        <v>6</v>
      </c>
      <c r="N51" s="291">
        <v>6</v>
      </c>
      <c r="O51" s="290">
        <v>0.2</v>
      </c>
      <c r="P51" s="290">
        <v>0.05</v>
      </c>
      <c r="Q51" s="290">
        <v>0.44</v>
      </c>
      <c r="R51" s="290">
        <v>0.02</v>
      </c>
      <c r="S51" s="289"/>
      <c r="T51" s="289"/>
      <c r="U51" s="300">
        <v>10</v>
      </c>
      <c r="W51" s="272" t="s">
        <v>1243</v>
      </c>
    </row>
    <row r="52" spans="1:23" ht="15">
      <c r="A52" s="271"/>
      <c r="B52" s="289" t="s">
        <v>1502</v>
      </c>
      <c r="C52" s="289">
        <v>300</v>
      </c>
      <c r="D52" s="290">
        <v>60</v>
      </c>
      <c r="E52" s="291">
        <v>30</v>
      </c>
      <c r="F52" s="290">
        <v>42</v>
      </c>
      <c r="G52" s="289">
        <v>140</v>
      </c>
      <c r="H52" s="289">
        <v>0</v>
      </c>
      <c r="I52" s="289">
        <v>60</v>
      </c>
      <c r="J52" s="289">
        <v>0</v>
      </c>
      <c r="K52" s="289">
        <v>0</v>
      </c>
      <c r="L52" s="291">
        <v>10</v>
      </c>
      <c r="M52" s="291">
        <v>14</v>
      </c>
      <c r="N52" s="291">
        <v>14</v>
      </c>
      <c r="O52" s="290">
        <v>0.34</v>
      </c>
      <c r="P52" s="290">
        <v>0.17</v>
      </c>
      <c r="Q52" s="290">
        <v>0.8</v>
      </c>
      <c r="R52" s="290">
        <v>0.12</v>
      </c>
      <c r="S52" s="289"/>
      <c r="T52" s="289"/>
      <c r="U52" s="300">
        <v>5</v>
      </c>
      <c r="W52" s="272" t="s">
        <v>1242</v>
      </c>
    </row>
    <row r="53" spans="1:23" ht="15">
      <c r="A53" s="271">
        <v>1</v>
      </c>
      <c r="B53" s="289" t="s">
        <v>1503</v>
      </c>
      <c r="C53" s="289">
        <v>180</v>
      </c>
      <c r="D53" s="290">
        <v>40</v>
      </c>
      <c r="E53" s="291">
        <v>30</v>
      </c>
      <c r="F53" s="290">
        <v>28</v>
      </c>
      <c r="G53" s="289">
        <v>195</v>
      </c>
      <c r="H53" s="289">
        <v>0</v>
      </c>
      <c r="I53" s="289">
        <v>60</v>
      </c>
      <c r="J53" s="289">
        <v>0</v>
      </c>
      <c r="K53" s="289">
        <v>0</v>
      </c>
      <c r="L53" s="291">
        <v>10</v>
      </c>
      <c r="M53" s="291">
        <v>19.5</v>
      </c>
      <c r="N53" s="291">
        <v>19.5</v>
      </c>
      <c r="O53" s="290">
        <v>0.86</v>
      </c>
      <c r="P53" s="290">
        <v>0.26</v>
      </c>
      <c r="Q53" s="290">
        <v>1.07</v>
      </c>
      <c r="R53" s="290">
        <v>0.17</v>
      </c>
      <c r="S53" s="289"/>
      <c r="T53" s="299">
        <v>0.4</v>
      </c>
      <c r="U53" s="300">
        <v>5</v>
      </c>
      <c r="W53" s="272" t="s">
        <v>1241</v>
      </c>
    </row>
    <row r="54" spans="1:23" ht="15">
      <c r="A54" s="271"/>
      <c r="B54" s="289" t="s">
        <v>1504</v>
      </c>
      <c r="C54" s="289">
        <v>80</v>
      </c>
      <c r="D54" s="290">
        <v>16</v>
      </c>
      <c r="E54" s="291">
        <v>30</v>
      </c>
      <c r="F54" s="290">
        <v>11.2</v>
      </c>
      <c r="G54" s="289">
        <v>195</v>
      </c>
      <c r="H54" s="289">
        <v>0</v>
      </c>
      <c r="I54" s="289">
        <v>60</v>
      </c>
      <c r="J54" s="289">
        <v>0</v>
      </c>
      <c r="K54" s="289">
        <v>0</v>
      </c>
      <c r="L54" s="291">
        <v>10</v>
      </c>
      <c r="M54" s="291">
        <v>19.5</v>
      </c>
      <c r="N54" s="291">
        <v>19.5</v>
      </c>
      <c r="O54" s="290">
        <v>1.028888888888889</v>
      </c>
      <c r="P54" s="290">
        <v>0.34888888888888892</v>
      </c>
      <c r="Q54" s="290">
        <v>1.2966666666666669</v>
      </c>
      <c r="R54" s="290">
        <v>0.21444444444444447</v>
      </c>
      <c r="S54" s="289"/>
      <c r="T54" s="289"/>
      <c r="U54" s="300">
        <v>5</v>
      </c>
      <c r="W54" s="272" t="s">
        <v>1240</v>
      </c>
    </row>
    <row r="55" spans="1:23" ht="15">
      <c r="A55" s="271"/>
      <c r="B55" s="289" t="s">
        <v>1505</v>
      </c>
      <c r="C55" s="289">
        <v>80</v>
      </c>
      <c r="D55" s="290">
        <v>16</v>
      </c>
      <c r="E55" s="291">
        <v>30</v>
      </c>
      <c r="F55" s="290">
        <v>11.2</v>
      </c>
      <c r="G55" s="289">
        <v>195</v>
      </c>
      <c r="H55" s="289">
        <v>0</v>
      </c>
      <c r="I55" s="289">
        <v>60</v>
      </c>
      <c r="J55" s="289">
        <v>0</v>
      </c>
      <c r="K55" s="289">
        <v>0</v>
      </c>
      <c r="L55" s="291">
        <v>10</v>
      </c>
      <c r="M55" s="291">
        <v>19.5</v>
      </c>
      <c r="N55" s="291">
        <v>19.5</v>
      </c>
      <c r="O55" s="290">
        <v>0.38</v>
      </c>
      <c r="P55" s="290">
        <v>0.2</v>
      </c>
      <c r="Q55" s="290">
        <v>0.51</v>
      </c>
      <c r="R55" s="290">
        <v>0.1</v>
      </c>
      <c r="S55" s="299"/>
      <c r="T55" s="299"/>
      <c r="U55" s="300">
        <v>5</v>
      </c>
      <c r="W55" s="272" t="s">
        <v>1239</v>
      </c>
    </row>
    <row r="56" spans="1:23" ht="15">
      <c r="A56" s="271"/>
      <c r="B56" s="289" t="s">
        <v>1506</v>
      </c>
      <c r="C56" s="289">
        <v>120</v>
      </c>
      <c r="D56" s="290">
        <v>24</v>
      </c>
      <c r="E56" s="291">
        <v>30</v>
      </c>
      <c r="F56" s="290">
        <v>16.8</v>
      </c>
      <c r="G56" s="289">
        <v>125</v>
      </c>
      <c r="H56" s="289">
        <v>0</v>
      </c>
      <c r="I56" s="289">
        <v>30</v>
      </c>
      <c r="J56" s="289">
        <v>0</v>
      </c>
      <c r="K56" s="289">
        <v>0</v>
      </c>
      <c r="L56" s="291">
        <v>10</v>
      </c>
      <c r="M56" s="291">
        <v>12.5</v>
      </c>
      <c r="N56" s="291">
        <v>12.5</v>
      </c>
      <c r="O56" s="290">
        <v>0.7</v>
      </c>
      <c r="P56" s="290">
        <v>0.15</v>
      </c>
      <c r="Q56" s="290">
        <v>0.79</v>
      </c>
      <c r="R56" s="290">
        <v>0.09</v>
      </c>
      <c r="S56" s="289"/>
      <c r="T56" s="289"/>
      <c r="U56" s="300">
        <v>5</v>
      </c>
      <c r="W56" s="272" t="s">
        <v>1238</v>
      </c>
    </row>
    <row r="57" spans="1:23" ht="15">
      <c r="A57" s="271"/>
      <c r="B57" s="289" t="s">
        <v>1507</v>
      </c>
      <c r="C57" s="289">
        <v>150</v>
      </c>
      <c r="D57" s="290">
        <v>15</v>
      </c>
      <c r="E57" s="291">
        <v>30</v>
      </c>
      <c r="F57" s="290">
        <v>10.5</v>
      </c>
      <c r="G57" s="289">
        <v>65</v>
      </c>
      <c r="H57" s="289">
        <v>0</v>
      </c>
      <c r="I57" s="289">
        <v>30</v>
      </c>
      <c r="J57" s="289">
        <v>0</v>
      </c>
      <c r="K57" s="289">
        <v>0</v>
      </c>
      <c r="L57" s="291">
        <v>10</v>
      </c>
      <c r="M57" s="291">
        <v>6.5</v>
      </c>
      <c r="N57" s="291">
        <v>6.5</v>
      </c>
      <c r="O57" s="290">
        <v>0.3</v>
      </c>
      <c r="P57" s="290">
        <v>9.1999999999999998E-2</v>
      </c>
      <c r="Q57" s="290">
        <v>0.71</v>
      </c>
      <c r="R57" s="290">
        <v>0.04</v>
      </c>
      <c r="S57" s="289"/>
      <c r="T57" s="289"/>
      <c r="U57" s="300">
        <v>10</v>
      </c>
      <c r="W57" s="272" t="s">
        <v>1237</v>
      </c>
    </row>
    <row r="58" spans="1:23" ht="15">
      <c r="A58" s="271"/>
      <c r="B58" s="289" t="s">
        <v>1508</v>
      </c>
      <c r="C58" s="289">
        <v>250</v>
      </c>
      <c r="D58" s="290">
        <v>25</v>
      </c>
      <c r="E58" s="291">
        <v>30</v>
      </c>
      <c r="F58" s="290">
        <v>17.5</v>
      </c>
      <c r="G58" s="289">
        <v>105</v>
      </c>
      <c r="H58" s="289">
        <v>0</v>
      </c>
      <c r="I58" s="289">
        <v>30</v>
      </c>
      <c r="J58" s="289">
        <v>0</v>
      </c>
      <c r="K58" s="289">
        <v>0</v>
      </c>
      <c r="L58" s="291">
        <v>10</v>
      </c>
      <c r="M58" s="291">
        <v>10.5</v>
      </c>
      <c r="N58" s="291">
        <v>10.5</v>
      </c>
      <c r="O58" s="290">
        <v>0.3</v>
      </c>
      <c r="P58" s="290">
        <v>9.1999999999999998E-2</v>
      </c>
      <c r="Q58" s="290">
        <v>0.71</v>
      </c>
      <c r="R58" s="290">
        <v>0.04</v>
      </c>
      <c r="S58" s="289"/>
      <c r="T58" s="289"/>
      <c r="U58" s="300">
        <v>10</v>
      </c>
      <c r="W58" s="272" t="s">
        <v>1236</v>
      </c>
    </row>
    <row r="59" spans="1:23" ht="15">
      <c r="A59" s="271"/>
      <c r="B59" s="289" t="s">
        <v>1640</v>
      </c>
      <c r="C59" s="294">
        <v>50</v>
      </c>
      <c r="D59" s="290">
        <v>7.6923076923076925</v>
      </c>
      <c r="E59" s="291">
        <v>30</v>
      </c>
      <c r="F59" s="290">
        <v>5.384615384615385</v>
      </c>
      <c r="G59" s="294">
        <v>85</v>
      </c>
      <c r="H59" s="289">
        <v>0</v>
      </c>
      <c r="I59" s="294">
        <v>30</v>
      </c>
      <c r="J59" s="294">
        <v>0</v>
      </c>
      <c r="K59" s="294">
        <v>0</v>
      </c>
      <c r="L59" s="291">
        <v>10</v>
      </c>
      <c r="M59" s="291">
        <v>4</v>
      </c>
      <c r="N59" s="291">
        <v>4</v>
      </c>
      <c r="O59" s="290">
        <v>0.79</v>
      </c>
      <c r="P59" s="290">
        <v>0.17</v>
      </c>
      <c r="Q59" s="290">
        <v>0.83</v>
      </c>
      <c r="R59" s="290">
        <v>0.12</v>
      </c>
      <c r="S59" s="299"/>
      <c r="T59" s="299">
        <v>1.2</v>
      </c>
      <c r="U59" s="299">
        <v>6.5</v>
      </c>
      <c r="W59" s="272" t="s">
        <v>1235</v>
      </c>
    </row>
    <row r="60" spans="1:23" ht="15">
      <c r="A60" s="271">
        <v>1</v>
      </c>
      <c r="B60" s="289" t="s">
        <v>2069</v>
      </c>
      <c r="C60" s="294">
        <v>20</v>
      </c>
      <c r="D60" s="290">
        <v>100</v>
      </c>
      <c r="E60" s="291">
        <v>30</v>
      </c>
      <c r="F60" s="290">
        <v>70</v>
      </c>
      <c r="G60" s="294">
        <v>100</v>
      </c>
      <c r="H60" s="289">
        <v>0</v>
      </c>
      <c r="I60" s="294">
        <v>60</v>
      </c>
      <c r="J60" s="294">
        <v>0</v>
      </c>
      <c r="K60" s="294">
        <v>0</v>
      </c>
      <c r="L60" s="291">
        <v>10</v>
      </c>
      <c r="M60" s="291">
        <v>10</v>
      </c>
      <c r="N60" s="291">
        <v>10</v>
      </c>
      <c r="O60" s="290">
        <v>3.9599999999999995</v>
      </c>
      <c r="P60" s="290">
        <v>2.15</v>
      </c>
      <c r="Q60" s="290">
        <v>5.2200000000000006</v>
      </c>
      <c r="R60" s="290">
        <v>0.48000000000000009</v>
      </c>
      <c r="S60" s="299"/>
      <c r="T60" s="299">
        <v>1</v>
      </c>
      <c r="U60" s="299">
        <v>1.5</v>
      </c>
      <c r="W60" s="272" t="s">
        <v>1234</v>
      </c>
    </row>
    <row r="61" spans="1:23" ht="15">
      <c r="A61" s="271"/>
      <c r="B61" s="289" t="s">
        <v>2070</v>
      </c>
      <c r="C61" s="294">
        <v>20</v>
      </c>
      <c r="D61" s="290">
        <v>100</v>
      </c>
      <c r="E61" s="291">
        <v>30</v>
      </c>
      <c r="F61" s="290">
        <v>70</v>
      </c>
      <c r="G61" s="294">
        <v>100</v>
      </c>
      <c r="H61" s="289">
        <v>0</v>
      </c>
      <c r="I61" s="294">
        <v>60</v>
      </c>
      <c r="J61" s="294">
        <v>0</v>
      </c>
      <c r="K61" s="294">
        <v>0</v>
      </c>
      <c r="L61" s="291">
        <v>10</v>
      </c>
      <c r="M61" s="291">
        <v>10</v>
      </c>
      <c r="N61" s="291">
        <v>10</v>
      </c>
      <c r="O61" s="290">
        <v>3.01</v>
      </c>
      <c r="P61" s="290">
        <v>1.6</v>
      </c>
      <c r="Q61" s="290">
        <v>1.91</v>
      </c>
      <c r="R61" s="290">
        <v>0.28000000000000003</v>
      </c>
      <c r="S61" s="299"/>
      <c r="T61" s="299">
        <v>1</v>
      </c>
      <c r="U61" s="299">
        <v>1.5</v>
      </c>
      <c r="W61" s="272" t="s">
        <v>1233</v>
      </c>
    </row>
    <row r="62" spans="1:23" ht="15">
      <c r="A62" s="271"/>
      <c r="B62" s="289" t="s">
        <v>2071</v>
      </c>
      <c r="C62" s="289">
        <v>500</v>
      </c>
      <c r="D62" s="290">
        <v>100</v>
      </c>
      <c r="E62" s="291">
        <v>30</v>
      </c>
      <c r="F62" s="290">
        <v>70</v>
      </c>
      <c r="G62" s="289">
        <v>175</v>
      </c>
      <c r="H62" s="289">
        <v>0</v>
      </c>
      <c r="I62" s="289">
        <v>60</v>
      </c>
      <c r="J62" s="289">
        <v>0</v>
      </c>
      <c r="K62" s="289">
        <v>0</v>
      </c>
      <c r="L62" s="291">
        <v>10</v>
      </c>
      <c r="M62" s="291">
        <v>18</v>
      </c>
      <c r="N62" s="291">
        <v>18</v>
      </c>
      <c r="O62" s="290">
        <v>0.27</v>
      </c>
      <c r="P62" s="290">
        <v>0.11</v>
      </c>
      <c r="Q62" s="290">
        <v>0.65</v>
      </c>
      <c r="R62" s="290">
        <v>0.03</v>
      </c>
      <c r="S62" s="289"/>
      <c r="T62" s="289"/>
      <c r="U62" s="300">
        <v>5</v>
      </c>
      <c r="W62" s="272" t="s">
        <v>1232</v>
      </c>
    </row>
    <row r="63" spans="1:23" ht="15">
      <c r="A63" s="271"/>
      <c r="B63" s="289" t="s">
        <v>1641</v>
      </c>
      <c r="C63" s="294">
        <v>100</v>
      </c>
      <c r="D63" s="290">
        <v>20</v>
      </c>
      <c r="E63" s="291">
        <v>30</v>
      </c>
      <c r="F63" s="290">
        <v>14</v>
      </c>
      <c r="G63" s="294">
        <v>60</v>
      </c>
      <c r="H63" s="289">
        <v>0</v>
      </c>
      <c r="I63" s="294">
        <v>60</v>
      </c>
      <c r="J63" s="294">
        <v>0</v>
      </c>
      <c r="K63" s="294">
        <v>0</v>
      </c>
      <c r="L63" s="291">
        <v>10</v>
      </c>
      <c r="M63" s="291">
        <v>6</v>
      </c>
      <c r="N63" s="291">
        <v>6</v>
      </c>
      <c r="O63" s="290">
        <v>0.38</v>
      </c>
      <c r="P63" s="290">
        <v>0.12</v>
      </c>
      <c r="Q63" s="290">
        <v>0.5</v>
      </c>
      <c r="R63" s="290">
        <v>0.09</v>
      </c>
      <c r="S63" s="299"/>
      <c r="T63" s="299"/>
      <c r="U63" s="299">
        <v>5</v>
      </c>
      <c r="W63" s="272" t="s">
        <v>1231</v>
      </c>
    </row>
    <row r="64" spans="1:23" ht="15">
      <c r="A64" s="271"/>
      <c r="B64" s="289" t="s">
        <v>1509</v>
      </c>
      <c r="C64" s="289">
        <v>150</v>
      </c>
      <c r="D64" s="290">
        <v>30</v>
      </c>
      <c r="E64" s="291">
        <v>30</v>
      </c>
      <c r="F64" s="290">
        <v>21</v>
      </c>
      <c r="G64" s="289">
        <v>140</v>
      </c>
      <c r="H64" s="289">
        <v>0</v>
      </c>
      <c r="I64" s="289">
        <v>60</v>
      </c>
      <c r="J64" s="289">
        <v>0</v>
      </c>
      <c r="K64" s="289">
        <v>0</v>
      </c>
      <c r="L64" s="291">
        <v>10</v>
      </c>
      <c r="M64" s="291">
        <v>14</v>
      </c>
      <c r="N64" s="291">
        <v>14</v>
      </c>
      <c r="O64" s="290">
        <v>0.80666666666666664</v>
      </c>
      <c r="P64" s="290">
        <v>0.34666666666666668</v>
      </c>
      <c r="Q64" s="290">
        <v>1.2533333333333334</v>
      </c>
      <c r="R64" s="290">
        <v>0.23333333333333334</v>
      </c>
      <c r="S64" s="289"/>
      <c r="T64" s="299"/>
      <c r="U64" s="300">
        <v>5</v>
      </c>
      <c r="W64" s="272" t="s">
        <v>1230</v>
      </c>
    </row>
    <row r="65" spans="1:23" ht="15">
      <c r="A65" s="271">
        <v>1</v>
      </c>
      <c r="B65" s="289" t="s">
        <v>1510</v>
      </c>
      <c r="C65" s="289">
        <v>150</v>
      </c>
      <c r="D65" s="290">
        <v>30</v>
      </c>
      <c r="E65" s="291">
        <v>30</v>
      </c>
      <c r="F65" s="290">
        <v>21</v>
      </c>
      <c r="G65" s="289">
        <v>140</v>
      </c>
      <c r="H65" s="289">
        <v>0</v>
      </c>
      <c r="I65" s="289">
        <v>60</v>
      </c>
      <c r="J65" s="289">
        <v>0</v>
      </c>
      <c r="K65" s="289">
        <v>0</v>
      </c>
      <c r="L65" s="291">
        <v>10</v>
      </c>
      <c r="M65" s="291">
        <v>14</v>
      </c>
      <c r="N65" s="291">
        <v>14</v>
      </c>
      <c r="O65" s="290">
        <v>0.66</v>
      </c>
      <c r="P65" s="290">
        <v>0.3</v>
      </c>
      <c r="Q65" s="290">
        <v>0.72</v>
      </c>
      <c r="R65" s="290">
        <v>0.2</v>
      </c>
      <c r="S65" s="299"/>
      <c r="T65" s="299">
        <v>0.7</v>
      </c>
      <c r="U65" s="300">
        <v>5</v>
      </c>
      <c r="W65" s="272" t="s">
        <v>1229</v>
      </c>
    </row>
    <row r="66" spans="1:23" ht="15">
      <c r="A66" s="271"/>
      <c r="B66" s="289" t="s">
        <v>1511</v>
      </c>
      <c r="C66" s="289">
        <v>230</v>
      </c>
      <c r="D66" s="290">
        <v>100</v>
      </c>
      <c r="E66" s="291">
        <v>30</v>
      </c>
      <c r="F66" s="290">
        <v>70</v>
      </c>
      <c r="G66" s="289">
        <v>155</v>
      </c>
      <c r="H66" s="289">
        <v>0</v>
      </c>
      <c r="I66" s="289">
        <v>60</v>
      </c>
      <c r="J66" s="289">
        <v>0</v>
      </c>
      <c r="K66" s="289">
        <v>0</v>
      </c>
      <c r="L66" s="291">
        <v>10</v>
      </c>
      <c r="M66" s="291">
        <v>15.5</v>
      </c>
      <c r="N66" s="291">
        <v>15.5</v>
      </c>
      <c r="O66" s="290">
        <v>0.51</v>
      </c>
      <c r="P66" s="290">
        <v>0.14000000000000001</v>
      </c>
      <c r="Q66" s="290">
        <v>0.6</v>
      </c>
      <c r="R66" s="290">
        <v>0.08</v>
      </c>
      <c r="S66" s="289"/>
      <c r="T66" s="289"/>
      <c r="U66" s="300">
        <v>5</v>
      </c>
      <c r="W66" s="272" t="s">
        <v>1228</v>
      </c>
    </row>
    <row r="67" spans="1:23" ht="15">
      <c r="A67" s="271"/>
      <c r="B67" s="289" t="s">
        <v>1512</v>
      </c>
      <c r="C67" s="289">
        <v>200</v>
      </c>
      <c r="D67" s="290">
        <v>40</v>
      </c>
      <c r="E67" s="291">
        <v>30</v>
      </c>
      <c r="F67" s="290">
        <v>28</v>
      </c>
      <c r="G67" s="289">
        <v>140</v>
      </c>
      <c r="H67" s="289">
        <v>0</v>
      </c>
      <c r="I67" s="289">
        <v>60</v>
      </c>
      <c r="J67" s="289">
        <v>0</v>
      </c>
      <c r="K67" s="289">
        <v>0</v>
      </c>
      <c r="L67" s="291">
        <v>10</v>
      </c>
      <c r="M67" s="291">
        <v>14</v>
      </c>
      <c r="N67" s="291">
        <v>14</v>
      </c>
      <c r="O67" s="290">
        <v>0.6</v>
      </c>
      <c r="P67" s="290">
        <v>0.37</v>
      </c>
      <c r="Q67" s="290">
        <v>2.09</v>
      </c>
      <c r="R67" s="290">
        <v>0.16999999999999998</v>
      </c>
      <c r="S67" s="289"/>
      <c r="T67" s="299"/>
      <c r="U67" s="300">
        <v>5</v>
      </c>
      <c r="W67" s="272" t="s">
        <v>1227</v>
      </c>
    </row>
    <row r="68" spans="1:23" ht="15">
      <c r="A68" s="271">
        <v>1</v>
      </c>
      <c r="B68" s="289" t="s">
        <v>1513</v>
      </c>
      <c r="C68" s="289">
        <v>200</v>
      </c>
      <c r="D68" s="290">
        <v>40</v>
      </c>
      <c r="E68" s="291">
        <v>30</v>
      </c>
      <c r="F68" s="290">
        <v>28</v>
      </c>
      <c r="G68" s="289">
        <v>140</v>
      </c>
      <c r="H68" s="289">
        <v>0</v>
      </c>
      <c r="I68" s="289">
        <v>60</v>
      </c>
      <c r="J68" s="289">
        <v>0</v>
      </c>
      <c r="K68" s="289">
        <v>0</v>
      </c>
      <c r="L68" s="291">
        <v>10</v>
      </c>
      <c r="M68" s="291">
        <v>14</v>
      </c>
      <c r="N68" s="291">
        <v>14</v>
      </c>
      <c r="O68" s="290">
        <v>0.3</v>
      </c>
      <c r="P68" s="290">
        <v>0.23</v>
      </c>
      <c r="Q68" s="290">
        <v>0.65</v>
      </c>
      <c r="R68" s="290">
        <v>0.09</v>
      </c>
      <c r="S68" s="299"/>
      <c r="T68" s="299">
        <v>2</v>
      </c>
      <c r="U68" s="300">
        <v>5</v>
      </c>
      <c r="W68" s="272" t="s">
        <v>1226</v>
      </c>
    </row>
    <row r="69" spans="1:23" ht="15">
      <c r="A69" s="271"/>
      <c r="B69" s="289" t="s">
        <v>2072</v>
      </c>
      <c r="C69" s="289">
        <v>200</v>
      </c>
      <c r="D69" s="290">
        <v>40</v>
      </c>
      <c r="E69" s="291">
        <v>30</v>
      </c>
      <c r="F69" s="290">
        <v>28</v>
      </c>
      <c r="G69" s="289">
        <v>190</v>
      </c>
      <c r="H69" s="289">
        <v>0</v>
      </c>
      <c r="I69" s="289">
        <v>60</v>
      </c>
      <c r="J69" s="289">
        <v>0</v>
      </c>
      <c r="K69" s="289">
        <v>0</v>
      </c>
      <c r="L69" s="291">
        <v>10</v>
      </c>
      <c r="M69" s="291">
        <v>19</v>
      </c>
      <c r="N69" s="291">
        <v>19</v>
      </c>
      <c r="O69" s="290">
        <v>0.86</v>
      </c>
      <c r="P69" s="290">
        <v>0.41000000000000003</v>
      </c>
      <c r="Q69" s="290">
        <v>1.82</v>
      </c>
      <c r="R69" s="290">
        <v>0.17</v>
      </c>
      <c r="S69" s="289"/>
      <c r="T69" s="299"/>
      <c r="U69" s="300">
        <v>5</v>
      </c>
      <c r="W69" s="272" t="s">
        <v>1225</v>
      </c>
    </row>
    <row r="70" spans="1:23" ht="15">
      <c r="A70" s="271"/>
      <c r="B70" s="289" t="s">
        <v>2073</v>
      </c>
      <c r="C70" s="289">
        <v>200</v>
      </c>
      <c r="D70" s="290">
        <v>40</v>
      </c>
      <c r="E70" s="291">
        <v>30</v>
      </c>
      <c r="F70" s="290">
        <v>28</v>
      </c>
      <c r="G70" s="289">
        <v>190</v>
      </c>
      <c r="H70" s="289">
        <v>0</v>
      </c>
      <c r="I70" s="289">
        <v>60</v>
      </c>
      <c r="J70" s="289">
        <v>0</v>
      </c>
      <c r="K70" s="289">
        <v>0</v>
      </c>
      <c r="L70" s="291">
        <v>10</v>
      </c>
      <c r="M70" s="291">
        <v>16</v>
      </c>
      <c r="N70" s="291">
        <v>16</v>
      </c>
      <c r="O70" s="290">
        <v>0.42</v>
      </c>
      <c r="P70" s="290">
        <v>0.25</v>
      </c>
      <c r="Q70" s="290">
        <v>0.54</v>
      </c>
      <c r="R70" s="290">
        <v>7.0000000000000007E-2</v>
      </c>
      <c r="S70" s="299"/>
      <c r="T70" s="299">
        <v>2</v>
      </c>
      <c r="U70" s="300">
        <v>5</v>
      </c>
      <c r="W70" s="272" t="s">
        <v>1224</v>
      </c>
    </row>
    <row r="71" spans="1:23" ht="15">
      <c r="A71" s="271">
        <v>1</v>
      </c>
      <c r="B71" s="289" t="s">
        <v>1642</v>
      </c>
      <c r="C71" s="294">
        <v>75</v>
      </c>
      <c r="D71" s="290">
        <v>60</v>
      </c>
      <c r="E71" s="291">
        <v>30</v>
      </c>
      <c r="F71" s="290">
        <v>42</v>
      </c>
      <c r="G71" s="294">
        <v>80</v>
      </c>
      <c r="H71" s="289">
        <v>0</v>
      </c>
      <c r="I71" s="294">
        <v>30</v>
      </c>
      <c r="J71" s="294">
        <v>0</v>
      </c>
      <c r="K71" s="294">
        <v>0</v>
      </c>
      <c r="L71" s="291">
        <v>10</v>
      </c>
      <c r="M71" s="291">
        <v>4</v>
      </c>
      <c r="N71" s="291">
        <v>4</v>
      </c>
      <c r="O71" s="290">
        <v>0.3</v>
      </c>
      <c r="P71" s="290">
        <v>0.2</v>
      </c>
      <c r="Q71" s="290">
        <v>0.6</v>
      </c>
      <c r="R71" s="290">
        <v>0.1</v>
      </c>
      <c r="S71" s="299"/>
      <c r="T71" s="299"/>
      <c r="U71" s="299">
        <v>5</v>
      </c>
      <c r="W71" s="272" t="s">
        <v>1223</v>
      </c>
    </row>
    <row r="72" spans="1:23" ht="15">
      <c r="A72" s="271"/>
      <c r="B72" s="289" t="s">
        <v>1643</v>
      </c>
      <c r="C72" s="289">
        <v>300</v>
      </c>
      <c r="D72" s="290">
        <v>60</v>
      </c>
      <c r="E72" s="291">
        <v>30</v>
      </c>
      <c r="F72" s="290">
        <v>42</v>
      </c>
      <c r="G72" s="289">
        <v>130</v>
      </c>
      <c r="H72" s="289">
        <v>0</v>
      </c>
      <c r="I72" s="289">
        <v>30</v>
      </c>
      <c r="J72" s="289">
        <v>0</v>
      </c>
      <c r="K72" s="289">
        <v>0</v>
      </c>
      <c r="L72" s="291">
        <v>10</v>
      </c>
      <c r="M72" s="291">
        <v>13</v>
      </c>
      <c r="N72" s="291">
        <v>13</v>
      </c>
      <c r="O72" s="290">
        <v>0.3</v>
      </c>
      <c r="P72" s="290">
        <v>0.2</v>
      </c>
      <c r="Q72" s="290">
        <v>0.6</v>
      </c>
      <c r="R72" s="290">
        <v>0.1</v>
      </c>
      <c r="S72" s="289"/>
      <c r="T72" s="289"/>
      <c r="U72" s="300">
        <v>5</v>
      </c>
      <c r="W72" s="272" t="s">
        <v>1129</v>
      </c>
    </row>
    <row r="73" spans="1:23" ht="15">
      <c r="A73" s="271"/>
      <c r="B73" s="289" t="s">
        <v>1514</v>
      </c>
      <c r="C73" s="289">
        <v>150</v>
      </c>
      <c r="D73" s="290">
        <v>15</v>
      </c>
      <c r="E73" s="291">
        <v>30</v>
      </c>
      <c r="F73" s="290">
        <v>10.5</v>
      </c>
      <c r="G73" s="289">
        <v>125</v>
      </c>
      <c r="H73" s="289">
        <v>0</v>
      </c>
      <c r="I73" s="289">
        <v>30</v>
      </c>
      <c r="J73" s="289">
        <v>0</v>
      </c>
      <c r="K73" s="289">
        <v>0</v>
      </c>
      <c r="L73" s="291">
        <v>10</v>
      </c>
      <c r="M73" s="291">
        <v>12.5</v>
      </c>
      <c r="N73" s="291">
        <v>12.5</v>
      </c>
      <c r="O73" s="290">
        <v>0.55000000000000004</v>
      </c>
      <c r="P73" s="290">
        <v>0.16</v>
      </c>
      <c r="Q73" s="290">
        <v>0.88</v>
      </c>
      <c r="R73" s="290">
        <v>0.04</v>
      </c>
      <c r="S73" s="289"/>
      <c r="T73" s="289"/>
      <c r="U73" s="300">
        <v>10</v>
      </c>
      <c r="W73" s="272" t="s">
        <v>1222</v>
      </c>
    </row>
    <row r="74" spans="1:23" ht="15">
      <c r="A74" s="271">
        <v>1</v>
      </c>
      <c r="B74" s="289" t="s">
        <v>1644</v>
      </c>
      <c r="C74" s="289">
        <v>40</v>
      </c>
      <c r="D74" s="290">
        <v>3</v>
      </c>
      <c r="E74" s="291">
        <v>30</v>
      </c>
      <c r="F74" s="290">
        <v>2.1</v>
      </c>
      <c r="G74" s="289">
        <v>120</v>
      </c>
      <c r="H74" s="289">
        <v>0</v>
      </c>
      <c r="I74" s="289">
        <v>60</v>
      </c>
      <c r="J74" s="289">
        <v>0</v>
      </c>
      <c r="K74" s="289">
        <v>0</v>
      </c>
      <c r="L74" s="291">
        <v>10</v>
      </c>
      <c r="M74" s="291">
        <v>12</v>
      </c>
      <c r="N74" s="291">
        <v>12</v>
      </c>
      <c r="O74" s="290">
        <v>2.5074999999999998</v>
      </c>
      <c r="P74" s="290">
        <v>1.22</v>
      </c>
      <c r="Q74" s="290">
        <v>3.7424999999999997</v>
      </c>
      <c r="R74" s="290">
        <v>0.65999999999999992</v>
      </c>
      <c r="S74" s="289"/>
      <c r="T74" s="299"/>
      <c r="U74" s="300">
        <v>5</v>
      </c>
      <c r="W74" s="272" t="s">
        <v>1221</v>
      </c>
    </row>
    <row r="75" spans="1:23" ht="15">
      <c r="A75" s="271"/>
      <c r="B75" s="289" t="s">
        <v>1515</v>
      </c>
      <c r="C75" s="289">
        <v>40</v>
      </c>
      <c r="D75" s="290">
        <v>3</v>
      </c>
      <c r="E75" s="291">
        <v>30</v>
      </c>
      <c r="F75" s="290">
        <v>2.1</v>
      </c>
      <c r="G75" s="289">
        <v>120</v>
      </c>
      <c r="H75" s="289">
        <v>0</v>
      </c>
      <c r="I75" s="289">
        <v>60</v>
      </c>
      <c r="J75" s="289">
        <v>0</v>
      </c>
      <c r="K75" s="289">
        <v>0</v>
      </c>
      <c r="L75" s="291">
        <v>10</v>
      </c>
      <c r="M75" s="291">
        <v>12</v>
      </c>
      <c r="N75" s="291">
        <v>12</v>
      </c>
      <c r="O75" s="290">
        <v>1.5</v>
      </c>
      <c r="P75" s="290">
        <v>0.83</v>
      </c>
      <c r="Q75" s="290">
        <v>0.59</v>
      </c>
      <c r="R75" s="290">
        <v>0.27</v>
      </c>
      <c r="S75" s="299"/>
      <c r="T75" s="299">
        <v>3.3</v>
      </c>
      <c r="U75" s="300">
        <v>5</v>
      </c>
      <c r="W75" s="272" t="s">
        <v>1220</v>
      </c>
    </row>
    <row r="76" spans="1:23" ht="15">
      <c r="A76" s="271"/>
      <c r="B76" s="289" t="s">
        <v>1645</v>
      </c>
      <c r="C76" s="294">
        <v>150</v>
      </c>
      <c r="D76" s="290">
        <v>25</v>
      </c>
      <c r="E76" s="291">
        <v>30</v>
      </c>
      <c r="F76" s="290">
        <v>17.5</v>
      </c>
      <c r="G76" s="294">
        <v>190</v>
      </c>
      <c r="H76" s="289">
        <v>0</v>
      </c>
      <c r="I76" s="294">
        <v>60</v>
      </c>
      <c r="J76" s="294">
        <v>0</v>
      </c>
      <c r="K76" s="294">
        <v>0</v>
      </c>
      <c r="L76" s="291">
        <v>10</v>
      </c>
      <c r="M76" s="291">
        <v>19</v>
      </c>
      <c r="N76" s="291">
        <v>19</v>
      </c>
      <c r="O76" s="290">
        <v>1</v>
      </c>
      <c r="P76" s="290">
        <v>0.23</v>
      </c>
      <c r="Q76" s="290">
        <v>1.08</v>
      </c>
      <c r="R76" s="290">
        <v>0.13</v>
      </c>
      <c r="S76" s="299"/>
      <c r="T76" s="299"/>
      <c r="U76" s="299">
        <v>6</v>
      </c>
      <c r="W76" s="272" t="s">
        <v>1219</v>
      </c>
    </row>
    <row r="77" spans="1:23" ht="15">
      <c r="A77" s="271"/>
      <c r="B77" s="289" t="s">
        <v>1516</v>
      </c>
      <c r="C77" s="294">
        <v>220</v>
      </c>
      <c r="D77" s="290">
        <v>44</v>
      </c>
      <c r="E77" s="291">
        <v>30</v>
      </c>
      <c r="F77" s="290">
        <v>30.8</v>
      </c>
      <c r="G77" s="294">
        <v>135</v>
      </c>
      <c r="H77" s="289">
        <v>0</v>
      </c>
      <c r="I77" s="294">
        <v>60</v>
      </c>
      <c r="J77" s="294">
        <v>0</v>
      </c>
      <c r="K77" s="294">
        <v>0</v>
      </c>
      <c r="L77" s="291">
        <v>10</v>
      </c>
      <c r="M77" s="291">
        <v>13.5</v>
      </c>
      <c r="N77" s="291">
        <v>13.5</v>
      </c>
      <c r="O77" s="290">
        <v>0.52</v>
      </c>
      <c r="P77" s="290">
        <v>0.08</v>
      </c>
      <c r="Q77" s="290">
        <v>0.41</v>
      </c>
      <c r="R77" s="290">
        <v>7.0000000000000007E-2</v>
      </c>
      <c r="S77" s="299"/>
      <c r="T77" s="299"/>
      <c r="U77" s="300">
        <v>5</v>
      </c>
      <c r="W77" s="272" t="s">
        <v>1218</v>
      </c>
    </row>
    <row r="78" spans="1:23" ht="15">
      <c r="A78" s="271">
        <v>1</v>
      </c>
      <c r="B78" s="289" t="s">
        <v>1517</v>
      </c>
      <c r="C78" s="294">
        <v>480</v>
      </c>
      <c r="D78" s="290">
        <v>96</v>
      </c>
      <c r="E78" s="291">
        <v>30</v>
      </c>
      <c r="F78" s="290">
        <v>67.2</v>
      </c>
      <c r="G78" s="294">
        <v>195</v>
      </c>
      <c r="H78" s="289">
        <v>0</v>
      </c>
      <c r="I78" s="294">
        <v>60</v>
      </c>
      <c r="J78" s="294">
        <v>0</v>
      </c>
      <c r="K78" s="294">
        <v>0</v>
      </c>
      <c r="L78" s="291">
        <v>10</v>
      </c>
      <c r="M78" s="291">
        <v>19.5</v>
      </c>
      <c r="N78" s="291">
        <v>19.5</v>
      </c>
      <c r="O78" s="290">
        <v>0.36</v>
      </c>
      <c r="P78" s="290">
        <v>0.05</v>
      </c>
      <c r="Q78" s="290">
        <v>0.26</v>
      </c>
      <c r="R78" s="290">
        <v>7.0000000000000007E-2</v>
      </c>
      <c r="S78" s="299"/>
      <c r="T78" s="299"/>
      <c r="U78" s="300">
        <v>10</v>
      </c>
      <c r="W78" s="272" t="s">
        <v>1217</v>
      </c>
    </row>
    <row r="79" spans="1:23" ht="15">
      <c r="A79" s="271"/>
      <c r="B79" s="289" t="s">
        <v>1518</v>
      </c>
      <c r="C79" s="289">
        <v>300</v>
      </c>
      <c r="D79" s="290">
        <v>46</v>
      </c>
      <c r="E79" s="291">
        <v>30</v>
      </c>
      <c r="F79" s="290">
        <v>32.200000000000003</v>
      </c>
      <c r="G79" s="289">
        <v>155</v>
      </c>
      <c r="H79" s="289">
        <v>0</v>
      </c>
      <c r="I79" s="289">
        <v>30</v>
      </c>
      <c r="J79" s="289">
        <v>0</v>
      </c>
      <c r="K79" s="289">
        <v>0</v>
      </c>
      <c r="L79" s="291">
        <v>10</v>
      </c>
      <c r="M79" s="291">
        <v>15.5</v>
      </c>
      <c r="N79" s="291">
        <v>15.5</v>
      </c>
      <c r="O79" s="290">
        <v>0.38</v>
      </c>
      <c r="P79" s="290">
        <v>0.14000000000000001</v>
      </c>
      <c r="Q79" s="290">
        <v>0.53</v>
      </c>
      <c r="R79" s="290">
        <v>0.1</v>
      </c>
      <c r="S79" s="289"/>
      <c r="T79" s="299"/>
      <c r="U79" s="300">
        <v>5</v>
      </c>
      <c r="W79" s="272" t="s">
        <v>1216</v>
      </c>
    </row>
    <row r="80" spans="1:23" ht="15">
      <c r="A80" s="271"/>
      <c r="B80" s="289" t="s">
        <v>1519</v>
      </c>
      <c r="C80" s="289">
        <v>300</v>
      </c>
      <c r="D80" s="290">
        <v>60</v>
      </c>
      <c r="E80" s="291">
        <v>30</v>
      </c>
      <c r="F80" s="290">
        <v>42</v>
      </c>
      <c r="G80" s="289">
        <v>150</v>
      </c>
      <c r="H80" s="289">
        <v>0</v>
      </c>
      <c r="I80" s="289">
        <v>60</v>
      </c>
      <c r="J80" s="289">
        <v>0</v>
      </c>
      <c r="K80" s="289">
        <v>0</v>
      </c>
      <c r="L80" s="291">
        <v>10</v>
      </c>
      <c r="M80" s="291">
        <v>15</v>
      </c>
      <c r="N80" s="291">
        <v>15</v>
      </c>
      <c r="O80" s="290">
        <v>0.44</v>
      </c>
      <c r="P80" s="290">
        <v>0.17</v>
      </c>
      <c r="Q80" s="290">
        <v>0.63</v>
      </c>
      <c r="R80" s="290">
        <v>0.12</v>
      </c>
      <c r="S80" s="315">
        <v>0.46</v>
      </c>
      <c r="T80" s="299"/>
      <c r="U80" s="300">
        <v>5</v>
      </c>
      <c r="W80" s="272" t="s">
        <v>1215</v>
      </c>
    </row>
    <row r="81" spans="1:23" ht="15">
      <c r="A81" s="271"/>
      <c r="B81" s="289" t="s">
        <v>1520</v>
      </c>
      <c r="C81" s="289">
        <v>150</v>
      </c>
      <c r="D81" s="290">
        <v>5</v>
      </c>
      <c r="E81" s="291">
        <v>30</v>
      </c>
      <c r="F81" s="290">
        <v>3.5</v>
      </c>
      <c r="G81" s="289">
        <v>120</v>
      </c>
      <c r="H81" s="289">
        <v>0</v>
      </c>
      <c r="I81" s="289">
        <v>30</v>
      </c>
      <c r="J81" s="289">
        <v>0</v>
      </c>
      <c r="K81" s="289">
        <v>0</v>
      </c>
      <c r="L81" s="291">
        <v>10</v>
      </c>
      <c r="M81" s="291">
        <v>12</v>
      </c>
      <c r="N81" s="291">
        <v>12</v>
      </c>
      <c r="O81" s="290">
        <v>0.53</v>
      </c>
      <c r="P81" s="290">
        <v>0.26</v>
      </c>
      <c r="Q81" s="290">
        <v>0.75</v>
      </c>
      <c r="R81" s="290">
        <v>0.05</v>
      </c>
      <c r="S81" s="315"/>
      <c r="T81" s="299"/>
      <c r="U81" s="300">
        <v>10</v>
      </c>
      <c r="W81" s="272" t="s">
        <v>1214</v>
      </c>
    </row>
    <row r="82" spans="1:23" ht="15">
      <c r="A82" s="271"/>
      <c r="B82" s="289" t="s">
        <v>1646</v>
      </c>
      <c r="C82" s="294">
        <v>55</v>
      </c>
      <c r="D82" s="290">
        <v>11</v>
      </c>
      <c r="E82" s="291">
        <v>10</v>
      </c>
      <c r="F82" s="290">
        <v>9.9</v>
      </c>
      <c r="G82" s="294">
        <v>75</v>
      </c>
      <c r="H82" s="289">
        <v>0</v>
      </c>
      <c r="I82" s="294">
        <v>60</v>
      </c>
      <c r="J82" s="294">
        <v>0</v>
      </c>
      <c r="K82" s="294">
        <v>0</v>
      </c>
      <c r="L82" s="291">
        <v>10</v>
      </c>
      <c r="M82" s="291">
        <v>4</v>
      </c>
      <c r="N82" s="291">
        <v>4</v>
      </c>
      <c r="O82" s="290">
        <v>0.6</v>
      </c>
      <c r="P82" s="290">
        <v>0.2</v>
      </c>
      <c r="Q82" s="290">
        <v>1</v>
      </c>
      <c r="R82" s="290">
        <v>0.1</v>
      </c>
      <c r="S82" s="299"/>
      <c r="T82" s="299"/>
      <c r="U82" s="299">
        <v>5</v>
      </c>
      <c r="W82" s="272" t="s">
        <v>1130</v>
      </c>
    </row>
    <row r="83" spans="1:23" ht="15">
      <c r="A83" s="271">
        <v>1</v>
      </c>
      <c r="B83" s="289" t="s">
        <v>1647</v>
      </c>
      <c r="C83" s="294">
        <v>6</v>
      </c>
      <c r="D83" s="290">
        <v>2</v>
      </c>
      <c r="E83" s="291">
        <v>30</v>
      </c>
      <c r="F83" s="290">
        <v>1.4</v>
      </c>
      <c r="G83" s="294">
        <v>25</v>
      </c>
      <c r="H83" s="289">
        <v>0</v>
      </c>
      <c r="I83" s="294">
        <v>30</v>
      </c>
      <c r="J83" s="294">
        <v>0</v>
      </c>
      <c r="K83" s="294">
        <v>0</v>
      </c>
      <c r="L83" s="291">
        <v>10</v>
      </c>
      <c r="M83" s="291">
        <v>1</v>
      </c>
      <c r="N83" s="291">
        <v>1</v>
      </c>
      <c r="O83" s="290">
        <v>0.79</v>
      </c>
      <c r="P83" s="290">
        <v>0.24</v>
      </c>
      <c r="Q83" s="290">
        <v>0.79</v>
      </c>
      <c r="R83" s="290">
        <v>0.09</v>
      </c>
      <c r="S83" s="299"/>
      <c r="T83" s="299"/>
      <c r="U83" s="299">
        <v>3</v>
      </c>
      <c r="W83" s="272" t="s">
        <v>1131</v>
      </c>
    </row>
    <row r="84" spans="1:23" ht="15">
      <c r="A84" s="271"/>
      <c r="B84" s="289" t="s">
        <v>1521</v>
      </c>
      <c r="C84" s="289">
        <v>210</v>
      </c>
      <c r="D84" s="290">
        <v>42</v>
      </c>
      <c r="E84" s="291">
        <v>30</v>
      </c>
      <c r="F84" s="290">
        <v>29.4</v>
      </c>
      <c r="G84" s="289">
        <v>165</v>
      </c>
      <c r="H84" s="289">
        <v>0</v>
      </c>
      <c r="I84" s="289">
        <v>60</v>
      </c>
      <c r="J84" s="289">
        <v>0</v>
      </c>
      <c r="K84" s="289">
        <v>0</v>
      </c>
      <c r="L84" s="291">
        <v>10</v>
      </c>
      <c r="M84" s="291">
        <v>16.5</v>
      </c>
      <c r="N84" s="291">
        <v>16.5</v>
      </c>
      <c r="O84" s="290">
        <v>0.6</v>
      </c>
      <c r="P84" s="290">
        <v>0.21</v>
      </c>
      <c r="Q84" s="290">
        <v>0.77</v>
      </c>
      <c r="R84" s="290">
        <v>0.05</v>
      </c>
      <c r="S84" s="315"/>
      <c r="T84" s="299"/>
      <c r="U84" s="300">
        <v>5</v>
      </c>
      <c r="W84" s="272" t="s">
        <v>1213</v>
      </c>
    </row>
    <row r="85" spans="1:23" ht="15">
      <c r="A85" s="271">
        <v>1</v>
      </c>
      <c r="B85" s="289" t="s">
        <v>1648</v>
      </c>
      <c r="C85" s="294">
        <v>115</v>
      </c>
      <c r="D85" s="290">
        <v>38.333333333333336</v>
      </c>
      <c r="E85" s="291">
        <v>10</v>
      </c>
      <c r="F85" s="290">
        <v>34.5</v>
      </c>
      <c r="G85" s="294">
        <v>110</v>
      </c>
      <c r="H85" s="289">
        <v>0</v>
      </c>
      <c r="I85" s="294">
        <v>60</v>
      </c>
      <c r="J85" s="294">
        <v>0</v>
      </c>
      <c r="K85" s="294">
        <v>0</v>
      </c>
      <c r="L85" s="291">
        <v>10</v>
      </c>
      <c r="M85" s="291">
        <v>6</v>
      </c>
      <c r="N85" s="291">
        <v>6</v>
      </c>
      <c r="O85" s="290">
        <v>0.59</v>
      </c>
      <c r="P85" s="290">
        <v>0.22</v>
      </c>
      <c r="Q85" s="290">
        <v>0.83</v>
      </c>
      <c r="R85" s="290">
        <v>0.09</v>
      </c>
      <c r="S85" s="299"/>
      <c r="T85" s="299"/>
      <c r="U85" s="299">
        <v>3</v>
      </c>
      <c r="W85" s="272" t="s">
        <v>1212</v>
      </c>
    </row>
    <row r="86" spans="1:23" ht="15">
      <c r="A86" s="271"/>
      <c r="B86" s="289" t="s">
        <v>1649</v>
      </c>
      <c r="C86" s="294">
        <v>420</v>
      </c>
      <c r="D86" s="290">
        <v>42</v>
      </c>
      <c r="E86" s="291">
        <v>30</v>
      </c>
      <c r="F86" s="290">
        <v>29.4</v>
      </c>
      <c r="G86" s="294">
        <v>200</v>
      </c>
      <c r="H86" s="289">
        <v>0</v>
      </c>
      <c r="I86" s="294">
        <v>60</v>
      </c>
      <c r="J86" s="294">
        <v>0</v>
      </c>
      <c r="K86" s="294">
        <v>0</v>
      </c>
      <c r="L86" s="291">
        <v>10</v>
      </c>
      <c r="M86" s="291">
        <v>20</v>
      </c>
      <c r="N86" s="291">
        <v>20</v>
      </c>
      <c r="O86" s="290">
        <v>0.2</v>
      </c>
      <c r="P86" s="290">
        <v>7.0000000000000007E-2</v>
      </c>
      <c r="Q86" s="290">
        <v>0.63</v>
      </c>
      <c r="R86" s="290">
        <v>0.05</v>
      </c>
      <c r="S86" s="299"/>
      <c r="T86" s="299"/>
      <c r="U86" s="299">
        <v>10</v>
      </c>
      <c r="W86" s="272" t="s">
        <v>1211</v>
      </c>
    </row>
    <row r="87" spans="1:23" ht="15">
      <c r="A87" s="271"/>
      <c r="B87" s="289" t="s">
        <v>1522</v>
      </c>
      <c r="C87" s="289">
        <v>200</v>
      </c>
      <c r="D87" s="290">
        <v>40</v>
      </c>
      <c r="E87" s="291">
        <v>30</v>
      </c>
      <c r="F87" s="290">
        <v>28</v>
      </c>
      <c r="G87" s="289">
        <v>145</v>
      </c>
      <c r="H87" s="289">
        <v>0</v>
      </c>
      <c r="I87" s="289">
        <v>60</v>
      </c>
      <c r="J87" s="289">
        <v>0</v>
      </c>
      <c r="K87" s="289">
        <v>0</v>
      </c>
      <c r="L87" s="291">
        <v>10</v>
      </c>
      <c r="M87" s="291">
        <v>15</v>
      </c>
      <c r="N87" s="291">
        <v>15</v>
      </c>
      <c r="O87" s="290">
        <v>0.53</v>
      </c>
      <c r="P87" s="290">
        <v>0.2</v>
      </c>
      <c r="Q87" s="290">
        <v>0.6</v>
      </c>
      <c r="R87" s="290">
        <v>7.0000000000000007E-2</v>
      </c>
      <c r="S87" s="298"/>
      <c r="T87" s="316"/>
      <c r="U87" s="300">
        <v>5</v>
      </c>
      <c r="W87" s="272" t="s">
        <v>1210</v>
      </c>
    </row>
    <row r="88" spans="1:23" ht="15">
      <c r="A88" s="271">
        <v>1</v>
      </c>
      <c r="B88" s="289" t="s">
        <v>1650</v>
      </c>
      <c r="C88" s="289">
        <v>45</v>
      </c>
      <c r="D88" s="290">
        <v>12</v>
      </c>
      <c r="E88" s="291">
        <v>30</v>
      </c>
      <c r="F88" s="290">
        <v>8.4</v>
      </c>
      <c r="G88" s="289">
        <v>75</v>
      </c>
      <c r="H88" s="289">
        <v>0</v>
      </c>
      <c r="I88" s="289">
        <v>60</v>
      </c>
      <c r="J88" s="289">
        <v>0</v>
      </c>
      <c r="K88" s="289">
        <v>0</v>
      </c>
      <c r="L88" s="291">
        <v>10</v>
      </c>
      <c r="M88" s="291">
        <v>4</v>
      </c>
      <c r="N88" s="291">
        <v>4</v>
      </c>
      <c r="O88" s="290">
        <v>0.76666666666666672</v>
      </c>
      <c r="P88" s="290">
        <v>0.32999999999999996</v>
      </c>
      <c r="Q88" s="290">
        <f>(0.54*45+0.53*60)/45</f>
        <v>1.2466666666666666</v>
      </c>
      <c r="R88" s="290">
        <v>2.3333333333333334E-2</v>
      </c>
      <c r="S88" s="315"/>
      <c r="T88" s="299"/>
      <c r="U88" s="300">
        <v>5</v>
      </c>
      <c r="W88" s="272" t="s">
        <v>1209</v>
      </c>
    </row>
    <row r="89" spans="1:23" ht="15">
      <c r="A89" s="271"/>
      <c r="B89" s="289" t="s">
        <v>1651</v>
      </c>
      <c r="C89" s="289">
        <v>45</v>
      </c>
      <c r="D89" s="290">
        <v>12</v>
      </c>
      <c r="E89" s="291">
        <v>30</v>
      </c>
      <c r="F89" s="290">
        <v>8.4</v>
      </c>
      <c r="G89" s="289">
        <v>75</v>
      </c>
      <c r="H89" s="289">
        <v>0</v>
      </c>
      <c r="I89" s="289">
        <v>60</v>
      </c>
      <c r="J89" s="289">
        <v>0</v>
      </c>
      <c r="K89" s="289">
        <v>0</v>
      </c>
      <c r="L89" s="291">
        <v>10</v>
      </c>
      <c r="M89" s="291">
        <v>4</v>
      </c>
      <c r="N89" s="291">
        <v>4</v>
      </c>
      <c r="O89" s="290">
        <v>0.42</v>
      </c>
      <c r="P89" s="290">
        <v>0.21</v>
      </c>
      <c r="Q89" s="290">
        <v>0.54</v>
      </c>
      <c r="R89" s="290">
        <v>0.01</v>
      </c>
      <c r="S89" s="315"/>
      <c r="T89" s="289"/>
      <c r="U89" s="300">
        <v>6</v>
      </c>
      <c r="W89" s="272" t="s">
        <v>1208</v>
      </c>
    </row>
    <row r="90" spans="1:23" ht="15">
      <c r="A90" s="271"/>
      <c r="B90" s="289" t="s">
        <v>1652</v>
      </c>
      <c r="C90" s="289">
        <v>20</v>
      </c>
      <c r="D90" s="290">
        <v>4</v>
      </c>
      <c r="E90" s="291">
        <v>30</v>
      </c>
      <c r="F90" s="290">
        <v>2.8</v>
      </c>
      <c r="G90" s="289">
        <v>65</v>
      </c>
      <c r="H90" s="289">
        <v>0</v>
      </c>
      <c r="I90" s="289">
        <v>60</v>
      </c>
      <c r="J90" s="289">
        <v>0</v>
      </c>
      <c r="K90" s="289">
        <v>0</v>
      </c>
      <c r="L90" s="291">
        <v>10</v>
      </c>
      <c r="M90" s="291">
        <v>3</v>
      </c>
      <c r="N90" s="291">
        <v>3</v>
      </c>
      <c r="O90" s="290">
        <v>1.2</v>
      </c>
      <c r="P90" s="290">
        <v>0.48</v>
      </c>
      <c r="Q90" s="290">
        <f>((0.81*20)+(0.53*60))/20</f>
        <v>2.4</v>
      </c>
      <c r="R90" s="290">
        <v>0.14000000000000001</v>
      </c>
      <c r="S90" s="299"/>
      <c r="T90" s="299"/>
      <c r="U90" s="300">
        <v>5</v>
      </c>
      <c r="W90" s="272" t="s">
        <v>1207</v>
      </c>
    </row>
    <row r="91" spans="1:23" ht="15">
      <c r="A91" s="271"/>
      <c r="B91" s="289" t="s">
        <v>2074</v>
      </c>
      <c r="C91" s="289">
        <v>20</v>
      </c>
      <c r="D91" s="290">
        <v>4</v>
      </c>
      <c r="E91" s="291">
        <v>30</v>
      </c>
      <c r="F91" s="290">
        <v>2.8</v>
      </c>
      <c r="G91" s="289">
        <v>65</v>
      </c>
      <c r="H91" s="289">
        <v>0</v>
      </c>
      <c r="I91" s="289">
        <v>60</v>
      </c>
      <c r="J91" s="289">
        <v>0</v>
      </c>
      <c r="K91" s="289">
        <v>0</v>
      </c>
      <c r="L91" s="291">
        <v>10</v>
      </c>
      <c r="M91" s="291">
        <v>3</v>
      </c>
      <c r="N91" s="291">
        <v>3</v>
      </c>
      <c r="O91" s="290">
        <v>0.42</v>
      </c>
      <c r="P91" s="290">
        <v>0.21</v>
      </c>
      <c r="Q91" s="290">
        <v>0.81</v>
      </c>
      <c r="R91" s="290">
        <v>0.11</v>
      </c>
      <c r="S91" s="299"/>
      <c r="T91" s="299"/>
      <c r="U91" s="300">
        <v>5</v>
      </c>
      <c r="W91" s="272" t="s">
        <v>1206</v>
      </c>
    </row>
    <row r="92" spans="1:23" ht="15">
      <c r="A92" s="271"/>
      <c r="B92" s="289" t="s">
        <v>1523</v>
      </c>
      <c r="C92" s="289">
        <v>185</v>
      </c>
      <c r="D92" s="290">
        <v>15</v>
      </c>
      <c r="E92" s="291">
        <v>30</v>
      </c>
      <c r="F92" s="290">
        <v>10.5</v>
      </c>
      <c r="G92" s="289">
        <v>135</v>
      </c>
      <c r="H92" s="289">
        <v>0</v>
      </c>
      <c r="I92" s="289">
        <v>30</v>
      </c>
      <c r="J92" s="289">
        <v>0</v>
      </c>
      <c r="K92" s="289">
        <v>0</v>
      </c>
      <c r="L92" s="291">
        <v>10</v>
      </c>
      <c r="M92" s="291">
        <v>13.5</v>
      </c>
      <c r="N92" s="291">
        <v>13.5</v>
      </c>
      <c r="O92" s="290">
        <v>0.51</v>
      </c>
      <c r="P92" s="290">
        <v>0.16</v>
      </c>
      <c r="Q92" s="290">
        <v>0.7</v>
      </c>
      <c r="R92" s="290">
        <v>0.14000000000000001</v>
      </c>
      <c r="S92" s="315"/>
      <c r="T92" s="289"/>
      <c r="U92" s="300">
        <v>7</v>
      </c>
      <c r="W92" s="272" t="s">
        <v>1205</v>
      </c>
    </row>
    <row r="93" spans="1:23" ht="15">
      <c r="A93" s="271">
        <v>1</v>
      </c>
      <c r="B93" s="289" t="s">
        <v>1653</v>
      </c>
      <c r="C93" s="294">
        <v>200</v>
      </c>
      <c r="D93" s="290">
        <v>28.571428571428573</v>
      </c>
      <c r="E93" s="291">
        <v>30</v>
      </c>
      <c r="F93" s="290"/>
      <c r="G93" s="294">
        <v>185</v>
      </c>
      <c r="H93" s="289">
        <v>0</v>
      </c>
      <c r="I93" s="294">
        <v>60</v>
      </c>
      <c r="J93" s="294">
        <v>0</v>
      </c>
      <c r="K93" s="294">
        <v>0</v>
      </c>
      <c r="L93" s="291">
        <v>10</v>
      </c>
      <c r="M93" s="291">
        <v>18.5</v>
      </c>
      <c r="N93" s="291">
        <v>18.5</v>
      </c>
      <c r="O93" s="290">
        <v>0.57999999999999996</v>
      </c>
      <c r="P93" s="290">
        <v>0.14000000000000001</v>
      </c>
      <c r="Q93" s="290">
        <v>0.49</v>
      </c>
      <c r="R93" s="290">
        <v>0.08</v>
      </c>
      <c r="S93" s="299"/>
      <c r="T93" s="299"/>
      <c r="U93" s="299">
        <v>7</v>
      </c>
      <c r="W93" s="272" t="s">
        <v>1204</v>
      </c>
    </row>
    <row r="94" spans="1:23" ht="13.5" customHeight="1">
      <c r="A94" s="271"/>
      <c r="B94" s="289" t="s">
        <v>1524</v>
      </c>
      <c r="C94" s="289">
        <v>190</v>
      </c>
      <c r="D94" s="290">
        <v>20</v>
      </c>
      <c r="E94" s="291">
        <v>30</v>
      </c>
      <c r="F94" s="290">
        <v>14</v>
      </c>
      <c r="G94" s="289">
        <v>120</v>
      </c>
      <c r="H94" s="289">
        <v>0</v>
      </c>
      <c r="I94" s="289">
        <v>30</v>
      </c>
      <c r="J94" s="289">
        <v>0</v>
      </c>
      <c r="K94" s="289">
        <v>0</v>
      </c>
      <c r="L94" s="291">
        <v>10</v>
      </c>
      <c r="M94" s="291">
        <v>12</v>
      </c>
      <c r="N94" s="291">
        <v>12</v>
      </c>
      <c r="O94" s="290">
        <v>0.41</v>
      </c>
      <c r="P94" s="290">
        <v>0.1</v>
      </c>
      <c r="Q94" s="290">
        <v>0.7</v>
      </c>
      <c r="R94" s="290">
        <v>0.04</v>
      </c>
      <c r="S94" s="315"/>
      <c r="T94" s="289"/>
      <c r="U94" s="300">
        <v>7</v>
      </c>
      <c r="W94" s="272" t="s">
        <v>1203</v>
      </c>
    </row>
    <row r="95" spans="1:23" ht="15">
      <c r="A95" s="271"/>
      <c r="B95" s="289" t="s">
        <v>1525</v>
      </c>
      <c r="C95" s="289">
        <v>80</v>
      </c>
      <c r="D95" s="290">
        <v>20</v>
      </c>
      <c r="E95" s="291">
        <v>30</v>
      </c>
      <c r="F95" s="290">
        <v>14</v>
      </c>
      <c r="G95" s="289">
        <v>85</v>
      </c>
      <c r="H95" s="289">
        <v>0</v>
      </c>
      <c r="I95" s="289">
        <v>30</v>
      </c>
      <c r="J95" s="289">
        <v>0</v>
      </c>
      <c r="K95" s="289">
        <v>0</v>
      </c>
      <c r="L95" s="291">
        <v>10</v>
      </c>
      <c r="M95" s="291">
        <v>8.5</v>
      </c>
      <c r="N95" s="291">
        <v>8.5</v>
      </c>
      <c r="O95" s="290">
        <v>0.78</v>
      </c>
      <c r="P95" s="290">
        <v>0.28250000000000003</v>
      </c>
      <c r="Q95" s="290">
        <v>0.9375</v>
      </c>
      <c r="R95" s="290">
        <v>0.10500000000000001</v>
      </c>
      <c r="S95" s="315"/>
      <c r="T95" s="299"/>
      <c r="U95" s="300">
        <v>5</v>
      </c>
      <c r="W95" s="272" t="s">
        <v>1202</v>
      </c>
    </row>
    <row r="96" spans="1:23" ht="15">
      <c r="A96" s="271"/>
      <c r="B96" s="289" t="s">
        <v>1526</v>
      </c>
      <c r="C96" s="289">
        <v>80</v>
      </c>
      <c r="D96" s="290">
        <v>20</v>
      </c>
      <c r="E96" s="291">
        <v>30</v>
      </c>
      <c r="F96" s="290">
        <v>14</v>
      </c>
      <c r="G96" s="289">
        <v>85</v>
      </c>
      <c r="H96" s="289">
        <v>0</v>
      </c>
      <c r="I96" s="289">
        <v>30</v>
      </c>
      <c r="J96" s="289">
        <v>0</v>
      </c>
      <c r="K96" s="289">
        <v>0</v>
      </c>
      <c r="L96" s="291">
        <v>10</v>
      </c>
      <c r="M96" s="291">
        <v>8.5</v>
      </c>
      <c r="N96" s="291">
        <v>8.5</v>
      </c>
      <c r="O96" s="290">
        <v>0.48</v>
      </c>
      <c r="P96" s="290">
        <v>0.17</v>
      </c>
      <c r="Q96" s="290">
        <v>0.35</v>
      </c>
      <c r="R96" s="290">
        <v>0.03</v>
      </c>
      <c r="S96" s="299"/>
      <c r="T96" s="299">
        <v>1.3</v>
      </c>
      <c r="U96" s="300">
        <v>5</v>
      </c>
      <c r="W96" s="272" t="s">
        <v>1201</v>
      </c>
    </row>
    <row r="97" spans="1:23" ht="15">
      <c r="A97" s="271"/>
      <c r="B97" s="289" t="s">
        <v>1397</v>
      </c>
      <c r="C97" s="289">
        <v>120</v>
      </c>
      <c r="D97" s="290">
        <v>12</v>
      </c>
      <c r="E97" s="291">
        <v>30</v>
      </c>
      <c r="F97" s="290">
        <v>8.4</v>
      </c>
      <c r="G97" s="289">
        <v>100</v>
      </c>
      <c r="H97" s="289">
        <v>0</v>
      </c>
      <c r="I97" s="289">
        <v>30</v>
      </c>
      <c r="J97" s="289">
        <v>0</v>
      </c>
      <c r="K97" s="289">
        <v>0</v>
      </c>
      <c r="L97" s="291">
        <v>10</v>
      </c>
      <c r="M97" s="291">
        <v>5</v>
      </c>
      <c r="N97" s="291">
        <v>5</v>
      </c>
      <c r="O97" s="290">
        <v>0.51</v>
      </c>
      <c r="P97" s="290">
        <v>0.14000000000000001</v>
      </c>
      <c r="Q97" s="290">
        <v>0.82</v>
      </c>
      <c r="R97" s="290">
        <v>0.08</v>
      </c>
      <c r="S97" s="315"/>
      <c r="T97" s="289"/>
      <c r="U97" s="300">
        <v>10</v>
      </c>
      <c r="W97" s="272" t="s">
        <v>1200</v>
      </c>
    </row>
    <row r="98" spans="1:23" ht="15">
      <c r="A98" s="271"/>
      <c r="B98" s="289" t="s">
        <v>1654</v>
      </c>
      <c r="C98" s="289">
        <v>20</v>
      </c>
      <c r="D98" s="290">
        <v>3</v>
      </c>
      <c r="E98" s="291">
        <v>30</v>
      </c>
      <c r="F98" s="290">
        <v>2.1</v>
      </c>
      <c r="G98" s="289">
        <v>80</v>
      </c>
      <c r="H98" s="289">
        <v>0</v>
      </c>
      <c r="I98" s="289">
        <v>60</v>
      </c>
      <c r="J98" s="289">
        <v>0</v>
      </c>
      <c r="K98" s="289">
        <v>0</v>
      </c>
      <c r="L98" s="291">
        <v>10</v>
      </c>
      <c r="M98" s="291">
        <v>8</v>
      </c>
      <c r="N98" s="291">
        <v>8</v>
      </c>
      <c r="O98" s="290">
        <v>2.93</v>
      </c>
      <c r="P98" s="290">
        <v>2.15</v>
      </c>
      <c r="Q98" s="290">
        <v>6.8</v>
      </c>
      <c r="R98" s="290">
        <v>0.78</v>
      </c>
      <c r="S98" s="315"/>
      <c r="T98" s="299"/>
      <c r="U98" s="300">
        <v>5</v>
      </c>
      <c r="W98" s="272" t="s">
        <v>1199</v>
      </c>
    </row>
    <row r="99" spans="1:23" ht="15">
      <c r="A99" s="271"/>
      <c r="B99" s="289" t="s">
        <v>1527</v>
      </c>
      <c r="C99" s="289">
        <v>20</v>
      </c>
      <c r="D99" s="290">
        <v>3</v>
      </c>
      <c r="E99" s="291">
        <v>30</v>
      </c>
      <c r="F99" s="290">
        <v>2.1</v>
      </c>
      <c r="G99" s="289">
        <v>80</v>
      </c>
      <c r="H99" s="289">
        <v>0</v>
      </c>
      <c r="I99" s="289">
        <v>60</v>
      </c>
      <c r="J99" s="289">
        <v>0</v>
      </c>
      <c r="K99" s="289">
        <v>0</v>
      </c>
      <c r="L99" s="291">
        <v>10</v>
      </c>
      <c r="M99" s="291">
        <v>8</v>
      </c>
      <c r="N99" s="291">
        <v>8</v>
      </c>
      <c r="O99" s="290">
        <v>1.93</v>
      </c>
      <c r="P99" s="290">
        <v>1.1000000000000001</v>
      </c>
      <c r="Q99" s="290">
        <v>1.55</v>
      </c>
      <c r="R99" s="290">
        <v>0.38</v>
      </c>
      <c r="S99" s="299"/>
      <c r="T99" s="299">
        <v>5</v>
      </c>
      <c r="U99" s="300">
        <v>1.5</v>
      </c>
      <c r="W99" s="272" t="s">
        <v>1198</v>
      </c>
    </row>
    <row r="100" spans="1:23" ht="15">
      <c r="A100" s="271"/>
      <c r="B100" s="289" t="s">
        <v>1528</v>
      </c>
      <c r="C100" s="289">
        <v>200</v>
      </c>
      <c r="D100" s="290">
        <v>40</v>
      </c>
      <c r="E100" s="291">
        <v>30</v>
      </c>
      <c r="F100" s="290">
        <v>28</v>
      </c>
      <c r="G100" s="289">
        <v>115</v>
      </c>
      <c r="H100" s="289">
        <v>0</v>
      </c>
      <c r="I100" s="289">
        <v>30</v>
      </c>
      <c r="J100" s="289">
        <v>0</v>
      </c>
      <c r="K100" s="289">
        <v>0</v>
      </c>
      <c r="L100" s="291">
        <v>10</v>
      </c>
      <c r="M100" s="291">
        <v>11.5</v>
      </c>
      <c r="N100" s="291">
        <v>11.5</v>
      </c>
      <c r="O100" s="290">
        <v>0.37</v>
      </c>
      <c r="P100" s="290">
        <v>0.1</v>
      </c>
      <c r="Q100" s="290">
        <v>0.63</v>
      </c>
      <c r="R100" s="290">
        <v>0.05</v>
      </c>
      <c r="S100" s="315"/>
      <c r="T100" s="289"/>
      <c r="U100" s="300">
        <v>5</v>
      </c>
      <c r="W100" s="272" t="s">
        <v>1197</v>
      </c>
    </row>
    <row r="101" spans="1:23" ht="15">
      <c r="A101" s="271">
        <v>1</v>
      </c>
      <c r="B101" s="289" t="s">
        <v>1529</v>
      </c>
      <c r="C101" s="289">
        <v>70</v>
      </c>
      <c r="D101" s="290">
        <v>14</v>
      </c>
      <c r="E101" s="291">
        <v>30</v>
      </c>
      <c r="F101" s="290">
        <v>9.8000000000000007</v>
      </c>
      <c r="G101" s="289">
        <v>160</v>
      </c>
      <c r="H101" s="289">
        <v>0</v>
      </c>
      <c r="I101" s="289">
        <v>30</v>
      </c>
      <c r="J101" s="289">
        <v>0</v>
      </c>
      <c r="K101" s="289">
        <v>0</v>
      </c>
      <c r="L101" s="291">
        <v>10</v>
      </c>
      <c r="M101" s="291">
        <v>16</v>
      </c>
      <c r="N101" s="291">
        <v>16</v>
      </c>
      <c r="O101" s="290">
        <v>1.74</v>
      </c>
      <c r="P101" s="290">
        <v>0.32</v>
      </c>
      <c r="Q101" s="290">
        <v>2.1342857142857143</v>
      </c>
      <c r="R101" s="290">
        <v>0.26428571428571429</v>
      </c>
      <c r="S101" s="315"/>
      <c r="T101" s="299"/>
      <c r="U101" s="300">
        <v>5</v>
      </c>
      <c r="W101" s="272" t="s">
        <v>1196</v>
      </c>
    </row>
    <row r="102" spans="1:23" ht="15">
      <c r="A102" s="271"/>
      <c r="B102" s="289" t="s">
        <v>1530</v>
      </c>
      <c r="C102" s="289">
        <v>70</v>
      </c>
      <c r="D102" s="290">
        <v>14</v>
      </c>
      <c r="E102" s="291">
        <v>30</v>
      </c>
      <c r="F102" s="290">
        <v>9.8000000000000007</v>
      </c>
      <c r="G102" s="289">
        <v>160</v>
      </c>
      <c r="H102" s="289">
        <v>0</v>
      </c>
      <c r="I102" s="289">
        <v>30</v>
      </c>
      <c r="J102" s="289">
        <v>0</v>
      </c>
      <c r="K102" s="289">
        <v>0</v>
      </c>
      <c r="L102" s="291">
        <v>10</v>
      </c>
      <c r="M102" s="291">
        <v>16</v>
      </c>
      <c r="N102" s="291">
        <v>16</v>
      </c>
      <c r="O102" s="290">
        <v>0.44</v>
      </c>
      <c r="P102" s="290">
        <v>0.19</v>
      </c>
      <c r="Q102" s="290">
        <v>0.5</v>
      </c>
      <c r="R102" s="290">
        <v>0.06</v>
      </c>
      <c r="S102" s="299"/>
      <c r="T102" s="299">
        <v>1.9</v>
      </c>
      <c r="U102" s="300">
        <v>5</v>
      </c>
      <c r="W102" s="272" t="s">
        <v>1195</v>
      </c>
    </row>
    <row r="103" spans="1:23" ht="15">
      <c r="A103" s="271"/>
      <c r="B103" s="289" t="s">
        <v>1655</v>
      </c>
      <c r="C103" s="294">
        <v>95</v>
      </c>
      <c r="D103" s="290">
        <v>19</v>
      </c>
      <c r="E103" s="291">
        <v>30</v>
      </c>
      <c r="F103" s="290">
        <v>13.3</v>
      </c>
      <c r="G103" s="294">
        <v>40</v>
      </c>
      <c r="H103" s="289">
        <v>0</v>
      </c>
      <c r="I103" s="294">
        <v>30</v>
      </c>
      <c r="J103" s="294">
        <v>0</v>
      </c>
      <c r="K103" s="294">
        <v>0</v>
      </c>
      <c r="L103" s="291">
        <v>9.5</v>
      </c>
      <c r="M103" s="291">
        <v>2</v>
      </c>
      <c r="N103" s="291">
        <v>2</v>
      </c>
      <c r="O103" s="290">
        <v>0.22</v>
      </c>
      <c r="P103" s="290">
        <v>0.12</v>
      </c>
      <c r="Q103" s="290">
        <v>0.41</v>
      </c>
      <c r="R103" s="290">
        <v>0.1</v>
      </c>
      <c r="S103" s="299"/>
      <c r="T103" s="299">
        <v>3.8</v>
      </c>
      <c r="U103" s="299">
        <v>5</v>
      </c>
      <c r="W103" s="272" t="s">
        <v>1194</v>
      </c>
    </row>
    <row r="104" spans="1:23" ht="15">
      <c r="A104" s="271">
        <v>1</v>
      </c>
      <c r="B104" s="289" t="s">
        <v>1656</v>
      </c>
      <c r="C104" s="294">
        <v>25</v>
      </c>
      <c r="D104" s="290">
        <v>5</v>
      </c>
      <c r="E104" s="291">
        <v>30</v>
      </c>
      <c r="F104" s="290">
        <v>3.5</v>
      </c>
      <c r="G104" s="294">
        <v>30</v>
      </c>
      <c r="H104" s="289">
        <v>0</v>
      </c>
      <c r="I104" s="294">
        <v>30</v>
      </c>
      <c r="J104" s="294">
        <v>0</v>
      </c>
      <c r="K104" s="294">
        <v>0</v>
      </c>
      <c r="L104" s="291">
        <v>10</v>
      </c>
      <c r="M104" s="291">
        <v>2</v>
      </c>
      <c r="N104" s="291">
        <v>2</v>
      </c>
      <c r="O104" s="290">
        <v>0.46</v>
      </c>
      <c r="P104" s="290">
        <v>0.22</v>
      </c>
      <c r="Q104" s="290">
        <v>0.63</v>
      </c>
      <c r="R104" s="290">
        <v>0.09</v>
      </c>
      <c r="S104" s="299"/>
      <c r="T104" s="299">
        <v>3.8</v>
      </c>
      <c r="U104" s="299">
        <v>5</v>
      </c>
      <c r="W104" s="272" t="s">
        <v>1193</v>
      </c>
    </row>
    <row r="105" spans="1:23" ht="15">
      <c r="A105" s="271"/>
      <c r="B105" s="289" t="s">
        <v>1657</v>
      </c>
      <c r="C105" s="289">
        <v>20</v>
      </c>
      <c r="D105" s="290">
        <v>13.333333333333334</v>
      </c>
      <c r="E105" s="291">
        <v>30</v>
      </c>
      <c r="F105" s="290">
        <v>9.3333333333333339</v>
      </c>
      <c r="G105" s="289">
        <v>110</v>
      </c>
      <c r="H105" s="289">
        <v>0</v>
      </c>
      <c r="I105" s="289">
        <v>60</v>
      </c>
      <c r="J105" s="289">
        <v>0</v>
      </c>
      <c r="K105" s="289">
        <v>0</v>
      </c>
      <c r="L105" s="291">
        <v>10</v>
      </c>
      <c r="M105" s="291">
        <v>11</v>
      </c>
      <c r="N105" s="291">
        <v>11</v>
      </c>
      <c r="O105" s="290">
        <v>4.375</v>
      </c>
      <c r="P105" s="290">
        <v>2.7249999999999996</v>
      </c>
      <c r="Q105" s="290">
        <v>9.4250000000000007</v>
      </c>
      <c r="R105" s="290">
        <v>0.98</v>
      </c>
      <c r="S105" s="315"/>
      <c r="T105" s="299"/>
      <c r="U105" s="300">
        <v>1.5</v>
      </c>
      <c r="W105" s="272" t="s">
        <v>1192</v>
      </c>
    </row>
    <row r="106" spans="1:23" ht="15">
      <c r="A106" s="271"/>
      <c r="B106" s="289" t="s">
        <v>1658</v>
      </c>
      <c r="C106" s="289">
        <v>20</v>
      </c>
      <c r="D106" s="290">
        <v>13.333333333333334</v>
      </c>
      <c r="E106" s="291">
        <v>30</v>
      </c>
      <c r="F106" s="290">
        <v>9.3333333333333339</v>
      </c>
      <c r="G106" s="289">
        <v>110</v>
      </c>
      <c r="H106" s="289">
        <v>0</v>
      </c>
      <c r="I106" s="289">
        <v>60</v>
      </c>
      <c r="J106" s="289">
        <v>0</v>
      </c>
      <c r="K106" s="289">
        <v>0</v>
      </c>
      <c r="L106" s="291">
        <v>10</v>
      </c>
      <c r="M106" s="291">
        <v>11</v>
      </c>
      <c r="N106" s="291">
        <v>11</v>
      </c>
      <c r="O106" s="290">
        <v>2.65</v>
      </c>
      <c r="P106" s="290">
        <v>1.1499999999999999</v>
      </c>
      <c r="Q106" s="290">
        <v>1.55</v>
      </c>
      <c r="R106" s="290">
        <v>0.38</v>
      </c>
      <c r="S106" s="299"/>
      <c r="T106" s="299">
        <v>7.5</v>
      </c>
      <c r="U106" s="300">
        <v>1.5</v>
      </c>
      <c r="W106" s="272" t="s">
        <v>1191</v>
      </c>
    </row>
    <row r="107" spans="1:23" ht="15">
      <c r="A107" s="271">
        <v>1</v>
      </c>
      <c r="B107" s="289" t="s">
        <v>2075</v>
      </c>
      <c r="C107" s="289">
        <v>23</v>
      </c>
      <c r="D107" s="290">
        <v>13.333333333333334</v>
      </c>
      <c r="E107" s="291">
        <v>30</v>
      </c>
      <c r="F107" s="290">
        <v>9.3333333333333339</v>
      </c>
      <c r="G107" s="289">
        <v>90</v>
      </c>
      <c r="H107" s="289">
        <v>0</v>
      </c>
      <c r="I107" s="289">
        <v>60</v>
      </c>
      <c r="J107" s="289">
        <v>0</v>
      </c>
      <c r="K107" s="289">
        <v>0</v>
      </c>
      <c r="L107" s="291">
        <v>10</v>
      </c>
      <c r="M107" s="291">
        <v>9</v>
      </c>
      <c r="N107" s="291">
        <v>9</v>
      </c>
      <c r="O107" s="290">
        <v>4.3499999999999996</v>
      </c>
      <c r="P107" s="290">
        <v>2.7021739130434779</v>
      </c>
      <c r="Q107" s="290">
        <v>9.3108695652173914</v>
      </c>
      <c r="R107" s="290">
        <v>0.97130434782608699</v>
      </c>
      <c r="S107" s="315"/>
      <c r="T107" s="299"/>
      <c r="U107" s="300">
        <v>1.5</v>
      </c>
      <c r="W107" s="272" t="s">
        <v>1190</v>
      </c>
    </row>
    <row r="108" spans="1:23" ht="15">
      <c r="A108" s="271"/>
      <c r="B108" s="289" t="s">
        <v>2076</v>
      </c>
      <c r="C108" s="289">
        <v>23</v>
      </c>
      <c r="D108" s="290">
        <v>13.333333333333334</v>
      </c>
      <c r="E108" s="291">
        <v>30</v>
      </c>
      <c r="F108" s="290">
        <v>9.3333333333333339</v>
      </c>
      <c r="G108" s="289">
        <v>90</v>
      </c>
      <c r="H108" s="289">
        <v>0</v>
      </c>
      <c r="I108" s="289">
        <v>60</v>
      </c>
      <c r="J108" s="289">
        <v>0</v>
      </c>
      <c r="K108" s="289">
        <v>0</v>
      </c>
      <c r="L108" s="291">
        <v>10</v>
      </c>
      <c r="M108" s="291">
        <v>9</v>
      </c>
      <c r="N108" s="291">
        <v>9</v>
      </c>
      <c r="O108" s="290">
        <v>2.65</v>
      </c>
      <c r="P108" s="290">
        <v>1.1499999999999999</v>
      </c>
      <c r="Q108" s="290">
        <v>1.55</v>
      </c>
      <c r="R108" s="290">
        <v>0.38</v>
      </c>
      <c r="S108" s="299"/>
      <c r="T108" s="299">
        <v>7.4</v>
      </c>
      <c r="U108" s="300">
        <v>1.5</v>
      </c>
      <c r="W108" s="272" t="s">
        <v>1189</v>
      </c>
    </row>
    <row r="109" spans="1:23" ht="15">
      <c r="A109" s="271"/>
      <c r="B109" s="289" t="s">
        <v>1659</v>
      </c>
      <c r="C109" s="294">
        <v>0</v>
      </c>
      <c r="D109" s="290">
        <v>13.333333333333334</v>
      </c>
      <c r="E109" s="291">
        <v>30</v>
      </c>
      <c r="F109" s="290">
        <v>9.3333333333333339</v>
      </c>
      <c r="G109" s="294">
        <v>50</v>
      </c>
      <c r="H109" s="289">
        <v>0</v>
      </c>
      <c r="I109" s="294">
        <v>60</v>
      </c>
      <c r="J109" s="294">
        <v>0</v>
      </c>
      <c r="K109" s="294">
        <v>0</v>
      </c>
      <c r="L109" s="291">
        <v>10</v>
      </c>
      <c r="M109" s="291">
        <v>3</v>
      </c>
      <c r="N109" s="291">
        <v>3</v>
      </c>
      <c r="O109" s="290">
        <v>2.65</v>
      </c>
      <c r="P109" s="290">
        <v>1.1499999999999999</v>
      </c>
      <c r="Q109" s="290">
        <v>0.55000000000000004</v>
      </c>
      <c r="R109" s="290">
        <v>0.38</v>
      </c>
      <c r="S109" s="299"/>
      <c r="T109" s="299"/>
      <c r="U109" s="299"/>
      <c r="W109" s="273" t="s">
        <v>1188</v>
      </c>
    </row>
    <row r="110" spans="1:23" ht="15">
      <c r="A110" s="271"/>
      <c r="B110" s="289" t="s">
        <v>1531</v>
      </c>
      <c r="C110" s="289">
        <v>25</v>
      </c>
      <c r="D110" s="290">
        <v>5</v>
      </c>
      <c r="E110" s="291">
        <v>30</v>
      </c>
      <c r="F110" s="290">
        <v>3.5</v>
      </c>
      <c r="G110" s="289">
        <v>90</v>
      </c>
      <c r="H110" s="289">
        <v>0</v>
      </c>
      <c r="I110" s="289">
        <v>60</v>
      </c>
      <c r="J110" s="289">
        <v>0</v>
      </c>
      <c r="K110" s="289">
        <v>0</v>
      </c>
      <c r="L110" s="291">
        <v>10</v>
      </c>
      <c r="M110" s="291">
        <v>9</v>
      </c>
      <c r="N110" s="291">
        <v>9</v>
      </c>
      <c r="O110" s="290">
        <v>0.51</v>
      </c>
      <c r="P110" s="290">
        <v>0.13</v>
      </c>
      <c r="Q110" s="290">
        <v>0.77</v>
      </c>
      <c r="R110" s="290">
        <v>0.15</v>
      </c>
      <c r="S110" s="315"/>
      <c r="T110" s="299">
        <v>4.5999999999999996</v>
      </c>
      <c r="U110" s="300">
        <v>5</v>
      </c>
      <c r="W110" s="274" t="s">
        <v>1187</v>
      </c>
    </row>
    <row r="111" spans="1:23" ht="15">
      <c r="A111" s="271"/>
      <c r="B111" s="289" t="s">
        <v>1532</v>
      </c>
      <c r="C111" s="289">
        <v>550</v>
      </c>
      <c r="D111" s="290">
        <v>55</v>
      </c>
      <c r="E111" s="291">
        <v>30</v>
      </c>
      <c r="F111" s="290">
        <v>38.5</v>
      </c>
      <c r="G111" s="289">
        <v>245</v>
      </c>
      <c r="H111" s="289">
        <v>0</v>
      </c>
      <c r="I111" s="289">
        <v>60</v>
      </c>
      <c r="J111" s="289">
        <v>0</v>
      </c>
      <c r="K111" s="289">
        <v>0</v>
      </c>
      <c r="L111" s="291">
        <v>10</v>
      </c>
      <c r="M111" s="291">
        <v>25</v>
      </c>
      <c r="N111" s="291">
        <v>25</v>
      </c>
      <c r="O111" s="290">
        <v>0.37</v>
      </c>
      <c r="P111" s="290">
        <v>0.11</v>
      </c>
      <c r="Q111" s="290">
        <v>0.5</v>
      </c>
      <c r="R111" s="290">
        <v>0.06</v>
      </c>
      <c r="S111" s="315"/>
      <c r="T111" s="299">
        <v>0.2</v>
      </c>
      <c r="U111" s="300">
        <v>10</v>
      </c>
      <c r="W111" s="272"/>
    </row>
    <row r="112" spans="1:23" ht="15">
      <c r="A112" s="271">
        <v>1</v>
      </c>
      <c r="B112" s="289" t="s">
        <v>1533</v>
      </c>
      <c r="C112" s="289">
        <v>550</v>
      </c>
      <c r="D112" s="290">
        <v>110</v>
      </c>
      <c r="E112" s="291">
        <v>30</v>
      </c>
      <c r="F112" s="290">
        <v>77</v>
      </c>
      <c r="G112" s="289">
        <v>245</v>
      </c>
      <c r="H112" s="289">
        <v>0</v>
      </c>
      <c r="I112" s="289">
        <v>60</v>
      </c>
      <c r="J112" s="289">
        <v>0</v>
      </c>
      <c r="K112" s="289">
        <v>0</v>
      </c>
      <c r="L112" s="291">
        <v>10</v>
      </c>
      <c r="M112" s="291">
        <v>25</v>
      </c>
      <c r="N112" s="291">
        <v>25</v>
      </c>
      <c r="O112" s="290">
        <v>1.9058333333333333</v>
      </c>
      <c r="P112" s="290">
        <v>0.65416666666666667</v>
      </c>
      <c r="Q112" s="290">
        <v>2.5316666666666663</v>
      </c>
      <c r="R112" s="290">
        <v>0.35500000000000004</v>
      </c>
      <c r="S112" s="315"/>
      <c r="T112" s="289"/>
      <c r="U112" s="300">
        <v>5</v>
      </c>
    </row>
    <row r="113" spans="1:21" ht="15">
      <c r="A113" s="271"/>
      <c r="B113" s="289" t="s">
        <v>1534</v>
      </c>
      <c r="C113" s="289">
        <v>120</v>
      </c>
      <c r="D113" s="290">
        <v>24</v>
      </c>
      <c r="E113" s="291">
        <v>30</v>
      </c>
      <c r="F113" s="290">
        <v>16.8</v>
      </c>
      <c r="G113" s="289">
        <v>245</v>
      </c>
      <c r="H113" s="289">
        <v>0</v>
      </c>
      <c r="I113" s="289">
        <v>60</v>
      </c>
      <c r="J113" s="289">
        <v>0</v>
      </c>
      <c r="K113" s="289">
        <v>0</v>
      </c>
      <c r="L113" s="291">
        <v>10</v>
      </c>
      <c r="M113" s="291">
        <v>25</v>
      </c>
      <c r="N113" s="291">
        <v>25</v>
      </c>
      <c r="O113" s="290">
        <v>0.21</v>
      </c>
      <c r="P113" s="290">
        <v>0.15</v>
      </c>
      <c r="Q113" s="290">
        <v>0.24</v>
      </c>
      <c r="R113" s="290">
        <v>0.08</v>
      </c>
      <c r="S113" s="299"/>
      <c r="T113" s="299"/>
      <c r="U113" s="300">
        <v>5</v>
      </c>
    </row>
    <row r="114" spans="1:21" ht="15">
      <c r="A114" s="271"/>
      <c r="B114" s="289" t="s">
        <v>1535</v>
      </c>
      <c r="C114" s="294">
        <v>30</v>
      </c>
      <c r="D114" s="290">
        <v>6</v>
      </c>
      <c r="E114" s="291">
        <v>30</v>
      </c>
      <c r="F114" s="290">
        <v>4.2</v>
      </c>
      <c r="G114" s="294">
        <v>100</v>
      </c>
      <c r="H114" s="289">
        <v>0</v>
      </c>
      <c r="I114" s="294">
        <v>30</v>
      </c>
      <c r="J114" s="294">
        <v>0</v>
      </c>
      <c r="K114" s="294">
        <v>0</v>
      </c>
      <c r="L114" s="291">
        <v>10</v>
      </c>
      <c r="M114" s="291">
        <v>5</v>
      </c>
      <c r="N114" s="291">
        <v>5</v>
      </c>
      <c r="O114" s="290">
        <v>0.59</v>
      </c>
      <c r="P114" s="290">
        <v>0.21</v>
      </c>
      <c r="Q114" s="290">
        <v>0.76</v>
      </c>
      <c r="R114" s="290">
        <v>7.0000000000000007E-2</v>
      </c>
      <c r="S114" s="299"/>
      <c r="T114" s="299"/>
      <c r="U114" s="300">
        <v>5</v>
      </c>
    </row>
    <row r="115" spans="1:21" ht="15">
      <c r="A115" s="271"/>
      <c r="B115" s="289" t="s">
        <v>1536</v>
      </c>
      <c r="C115" s="289">
        <v>275</v>
      </c>
      <c r="D115" s="290">
        <v>20</v>
      </c>
      <c r="E115" s="291">
        <v>30</v>
      </c>
      <c r="F115" s="290">
        <v>14</v>
      </c>
      <c r="G115" s="289">
        <v>135</v>
      </c>
      <c r="H115" s="289">
        <v>0</v>
      </c>
      <c r="I115" s="289">
        <v>60</v>
      </c>
      <c r="J115" s="289">
        <v>0</v>
      </c>
      <c r="K115" s="289">
        <v>0</v>
      </c>
      <c r="L115" s="291">
        <v>10</v>
      </c>
      <c r="M115" s="291">
        <v>14</v>
      </c>
      <c r="N115" s="291">
        <v>14</v>
      </c>
      <c r="O115" s="290">
        <v>0.35</v>
      </c>
      <c r="P115" s="290">
        <v>0.11</v>
      </c>
      <c r="Q115" s="290">
        <v>0.53</v>
      </c>
      <c r="R115" s="290">
        <v>0.02</v>
      </c>
      <c r="S115" s="315"/>
      <c r="T115" s="289"/>
      <c r="U115" s="300">
        <v>10</v>
      </c>
    </row>
    <row r="116" spans="1:21" ht="15">
      <c r="A116" s="271"/>
      <c r="B116" s="289" t="s">
        <v>1537</v>
      </c>
      <c r="C116" s="289">
        <v>100</v>
      </c>
      <c r="D116" s="290">
        <v>20</v>
      </c>
      <c r="E116" s="291">
        <v>30</v>
      </c>
      <c r="F116" s="290">
        <v>14</v>
      </c>
      <c r="G116" s="289">
        <v>70</v>
      </c>
      <c r="H116" s="289">
        <v>0</v>
      </c>
      <c r="I116" s="289">
        <v>60</v>
      </c>
      <c r="J116" s="289">
        <v>0</v>
      </c>
      <c r="K116" s="289">
        <v>0</v>
      </c>
      <c r="L116" s="291">
        <v>10</v>
      </c>
      <c r="M116" s="291">
        <v>7</v>
      </c>
      <c r="N116" s="291">
        <v>7</v>
      </c>
      <c r="O116" s="290">
        <v>0.49</v>
      </c>
      <c r="P116" s="290">
        <v>0.2</v>
      </c>
      <c r="Q116" s="290">
        <v>0.79</v>
      </c>
      <c r="R116" s="290">
        <v>0.21</v>
      </c>
      <c r="S116" s="315"/>
      <c r="T116" s="289"/>
      <c r="U116" s="300">
        <v>5</v>
      </c>
    </row>
    <row r="117" spans="1:21" ht="15">
      <c r="A117" s="271"/>
      <c r="B117" s="289" t="s">
        <v>1538</v>
      </c>
      <c r="C117" s="289">
        <v>200</v>
      </c>
      <c r="D117" s="290">
        <v>40</v>
      </c>
      <c r="E117" s="291">
        <v>30</v>
      </c>
      <c r="F117" s="290">
        <v>28</v>
      </c>
      <c r="G117" s="289">
        <v>135</v>
      </c>
      <c r="H117" s="289">
        <v>0</v>
      </c>
      <c r="I117" s="289">
        <v>30</v>
      </c>
      <c r="J117" s="289">
        <v>0</v>
      </c>
      <c r="K117" s="289">
        <v>0</v>
      </c>
      <c r="L117" s="291">
        <v>10</v>
      </c>
      <c r="M117" s="291">
        <v>14</v>
      </c>
      <c r="N117" s="291">
        <v>14</v>
      </c>
      <c r="O117" s="290">
        <v>0.48</v>
      </c>
      <c r="P117" s="290">
        <v>0.14000000000000001</v>
      </c>
      <c r="Q117" s="290">
        <v>0.59</v>
      </c>
      <c r="R117" s="290">
        <v>7.0000000000000007E-2</v>
      </c>
      <c r="S117" s="315"/>
      <c r="T117" s="289"/>
      <c r="U117" s="300">
        <v>5</v>
      </c>
    </row>
    <row r="118" spans="1:21" ht="15">
      <c r="A118" s="271"/>
      <c r="B118" s="289" t="s">
        <v>1660</v>
      </c>
      <c r="C118" s="289">
        <v>500</v>
      </c>
      <c r="D118" s="290">
        <v>100</v>
      </c>
      <c r="E118" s="291">
        <v>30</v>
      </c>
      <c r="F118" s="290">
        <v>70</v>
      </c>
      <c r="G118" s="289">
        <v>215</v>
      </c>
      <c r="H118" s="289">
        <v>0</v>
      </c>
      <c r="I118" s="289">
        <v>60</v>
      </c>
      <c r="J118" s="289">
        <v>0</v>
      </c>
      <c r="K118" s="289">
        <v>0</v>
      </c>
      <c r="L118" s="291">
        <v>10</v>
      </c>
      <c r="M118" s="291">
        <v>21.5</v>
      </c>
      <c r="N118" s="291">
        <v>21.5</v>
      </c>
      <c r="O118" s="290">
        <v>0.35</v>
      </c>
      <c r="P118" s="290">
        <v>0.16</v>
      </c>
      <c r="Q118" s="290">
        <v>0.69</v>
      </c>
      <c r="R118" s="290">
        <v>7.0000000000000007E-2</v>
      </c>
      <c r="S118" s="299"/>
      <c r="T118" s="289"/>
      <c r="U118" s="300">
        <v>5</v>
      </c>
    </row>
    <row r="119" spans="1:21" ht="15">
      <c r="A119" s="271">
        <v>1</v>
      </c>
      <c r="B119" s="289" t="s">
        <v>1661</v>
      </c>
      <c r="C119" s="289">
        <v>100</v>
      </c>
      <c r="D119" s="290">
        <v>10</v>
      </c>
      <c r="E119" s="291">
        <v>30</v>
      </c>
      <c r="F119" s="290">
        <v>7</v>
      </c>
      <c r="G119" s="289">
        <v>235</v>
      </c>
      <c r="H119" s="289">
        <v>0</v>
      </c>
      <c r="I119" s="289">
        <v>60</v>
      </c>
      <c r="J119" s="289">
        <v>0</v>
      </c>
      <c r="K119" s="289">
        <v>0</v>
      </c>
      <c r="L119" s="291">
        <v>10</v>
      </c>
      <c r="M119" s="291">
        <v>23.5</v>
      </c>
      <c r="N119" s="291">
        <v>23.5</v>
      </c>
      <c r="O119" s="290">
        <v>1.94</v>
      </c>
      <c r="P119" s="290">
        <v>0.88</v>
      </c>
      <c r="Q119" s="290">
        <v>3.67</v>
      </c>
      <c r="R119" s="290">
        <v>0.35000000000000003</v>
      </c>
      <c r="S119" s="299"/>
      <c r="T119" s="299"/>
      <c r="U119" s="300">
        <v>10</v>
      </c>
    </row>
    <row r="120" spans="1:21" ht="15">
      <c r="A120" s="271"/>
      <c r="B120" s="289" t="s">
        <v>1662</v>
      </c>
      <c r="C120" s="289">
        <v>100</v>
      </c>
      <c r="D120" s="290">
        <v>10</v>
      </c>
      <c r="E120" s="291">
        <v>30</v>
      </c>
      <c r="F120" s="290">
        <v>7</v>
      </c>
      <c r="G120" s="289">
        <v>235</v>
      </c>
      <c r="H120" s="289">
        <v>0</v>
      </c>
      <c r="I120" s="289">
        <v>60</v>
      </c>
      <c r="J120" s="289">
        <v>0</v>
      </c>
      <c r="K120" s="289">
        <v>0</v>
      </c>
      <c r="L120" s="291">
        <v>10</v>
      </c>
      <c r="M120" s="291">
        <v>23.5</v>
      </c>
      <c r="N120" s="291">
        <v>23.5</v>
      </c>
      <c r="O120" s="290">
        <v>0.3</v>
      </c>
      <c r="P120" s="290">
        <v>0.16</v>
      </c>
      <c r="Q120" s="290">
        <v>0.47</v>
      </c>
      <c r="R120" s="290">
        <v>7.0000000000000007E-2</v>
      </c>
      <c r="S120" s="299"/>
      <c r="T120" s="299">
        <v>4</v>
      </c>
      <c r="U120" s="300">
        <v>10</v>
      </c>
    </row>
    <row r="121" spans="1:21" ht="15">
      <c r="A121" s="271">
        <v>1</v>
      </c>
      <c r="B121" s="289" t="s">
        <v>1663</v>
      </c>
      <c r="C121" s="294">
        <v>280</v>
      </c>
      <c r="D121" s="290">
        <v>10</v>
      </c>
      <c r="E121" s="291">
        <v>30</v>
      </c>
      <c r="F121" s="290">
        <v>7</v>
      </c>
      <c r="G121" s="294">
        <v>105</v>
      </c>
      <c r="H121" s="289">
        <v>0</v>
      </c>
      <c r="I121" s="294">
        <v>60</v>
      </c>
      <c r="J121" s="294">
        <v>0</v>
      </c>
      <c r="K121" s="294">
        <v>0</v>
      </c>
      <c r="L121" s="291">
        <v>10</v>
      </c>
      <c r="M121" s="291">
        <v>5</v>
      </c>
      <c r="N121" s="291">
        <v>5</v>
      </c>
      <c r="O121" s="290">
        <v>0.24</v>
      </c>
      <c r="P121" s="290">
        <v>0.12</v>
      </c>
      <c r="Q121" s="290">
        <v>0.41</v>
      </c>
      <c r="R121" s="290">
        <v>0.1</v>
      </c>
      <c r="S121" s="299"/>
      <c r="T121" s="299"/>
      <c r="U121" s="299">
        <v>7</v>
      </c>
    </row>
    <row r="122" spans="1:21" ht="15">
      <c r="A122" s="271"/>
      <c r="B122" s="289" t="s">
        <v>1539</v>
      </c>
      <c r="C122" s="289">
        <v>15</v>
      </c>
      <c r="D122" s="290">
        <v>10</v>
      </c>
      <c r="E122" s="291">
        <v>30</v>
      </c>
      <c r="F122" s="290">
        <v>7</v>
      </c>
      <c r="G122" s="289">
        <v>100</v>
      </c>
      <c r="H122" s="289">
        <v>0</v>
      </c>
      <c r="I122" s="294">
        <v>60</v>
      </c>
      <c r="J122" s="289">
        <v>0</v>
      </c>
      <c r="K122" s="289">
        <v>0</v>
      </c>
      <c r="L122" s="291">
        <v>10</v>
      </c>
      <c r="M122" s="291">
        <v>10</v>
      </c>
      <c r="N122" s="291">
        <v>10</v>
      </c>
      <c r="O122" s="290">
        <v>5.3266666666666671</v>
      </c>
      <c r="P122" s="290">
        <v>3.2666666666666666</v>
      </c>
      <c r="Q122" s="290">
        <v>7.8466666666666667</v>
      </c>
      <c r="R122" s="290">
        <v>1.0466666666666666</v>
      </c>
      <c r="S122" s="315"/>
      <c r="T122" s="299"/>
      <c r="U122" s="300">
        <v>1.5</v>
      </c>
    </row>
    <row r="123" spans="1:21" ht="15">
      <c r="A123" s="271">
        <v>1</v>
      </c>
      <c r="B123" s="289" t="s">
        <v>1540</v>
      </c>
      <c r="C123" s="289">
        <v>15</v>
      </c>
      <c r="D123" s="290">
        <v>10</v>
      </c>
      <c r="E123" s="291">
        <v>30</v>
      </c>
      <c r="F123" s="290">
        <v>7</v>
      </c>
      <c r="G123" s="289">
        <v>100</v>
      </c>
      <c r="H123" s="289">
        <v>0</v>
      </c>
      <c r="I123" s="294">
        <v>60</v>
      </c>
      <c r="J123" s="289">
        <v>0</v>
      </c>
      <c r="K123" s="289">
        <v>0</v>
      </c>
      <c r="L123" s="291">
        <v>10</v>
      </c>
      <c r="M123" s="291">
        <v>10</v>
      </c>
      <c r="N123" s="291">
        <v>10</v>
      </c>
      <c r="O123" s="290">
        <v>2.06</v>
      </c>
      <c r="P123" s="290">
        <v>1.1200000000000001</v>
      </c>
      <c r="Q123" s="290">
        <v>0.66</v>
      </c>
      <c r="R123" s="290">
        <v>0.3</v>
      </c>
      <c r="S123" s="299"/>
      <c r="T123" s="299">
        <v>9.3000000000000007</v>
      </c>
      <c r="U123" s="300">
        <v>1.5</v>
      </c>
    </row>
    <row r="124" spans="1:21" ht="15">
      <c r="A124" s="271"/>
      <c r="B124" s="289" t="s">
        <v>1541</v>
      </c>
      <c r="C124" s="289">
        <v>200</v>
      </c>
      <c r="D124" s="290">
        <v>40</v>
      </c>
      <c r="E124" s="291">
        <v>30</v>
      </c>
      <c r="F124" s="290">
        <v>28</v>
      </c>
      <c r="G124" s="289">
        <v>255</v>
      </c>
      <c r="H124" s="289">
        <v>0</v>
      </c>
      <c r="I124" s="289">
        <v>60</v>
      </c>
      <c r="J124" s="289">
        <v>0</v>
      </c>
      <c r="K124" s="289">
        <v>0</v>
      </c>
      <c r="L124" s="291">
        <v>10</v>
      </c>
      <c r="M124" s="291">
        <v>26</v>
      </c>
      <c r="N124" s="291">
        <v>26</v>
      </c>
      <c r="O124" s="290">
        <v>1.18</v>
      </c>
      <c r="P124" s="290">
        <v>0.34499999999999997</v>
      </c>
      <c r="Q124" s="290">
        <v>1.55</v>
      </c>
      <c r="R124" s="290">
        <v>0.14499999999999999</v>
      </c>
      <c r="S124" s="315"/>
      <c r="T124" s="299"/>
      <c r="U124" s="300">
        <v>5</v>
      </c>
    </row>
    <row r="125" spans="1:21" ht="13.5" customHeight="1">
      <c r="A125" s="271"/>
      <c r="B125" s="289" t="s">
        <v>1400</v>
      </c>
      <c r="C125" s="289">
        <v>200</v>
      </c>
      <c r="D125" s="290">
        <v>40</v>
      </c>
      <c r="E125" s="291">
        <v>30</v>
      </c>
      <c r="F125" s="290">
        <v>28</v>
      </c>
      <c r="G125" s="289">
        <v>255</v>
      </c>
      <c r="H125" s="289">
        <v>0</v>
      </c>
      <c r="I125" s="289">
        <v>60</v>
      </c>
      <c r="J125" s="289">
        <v>0</v>
      </c>
      <c r="K125" s="289">
        <v>0</v>
      </c>
      <c r="L125" s="291">
        <v>10</v>
      </c>
      <c r="M125" s="291">
        <v>26</v>
      </c>
      <c r="N125" s="291">
        <v>26</v>
      </c>
      <c r="O125" s="290">
        <v>0.69</v>
      </c>
      <c r="P125" s="290">
        <v>0.22</v>
      </c>
      <c r="Q125" s="290">
        <v>0.72</v>
      </c>
      <c r="R125" s="290">
        <v>7.0000000000000007E-2</v>
      </c>
      <c r="S125" s="299"/>
      <c r="T125" s="299">
        <v>1.3</v>
      </c>
      <c r="U125" s="300">
        <v>5</v>
      </c>
    </row>
    <row r="126" spans="1:21" ht="15">
      <c r="A126" s="271"/>
      <c r="B126" s="289" t="s">
        <v>1664</v>
      </c>
      <c r="C126" s="294">
        <v>35</v>
      </c>
      <c r="D126" s="290">
        <v>8.75</v>
      </c>
      <c r="E126" s="291">
        <v>30</v>
      </c>
      <c r="F126" s="290">
        <v>6.125</v>
      </c>
      <c r="G126" s="294">
        <v>40</v>
      </c>
      <c r="H126" s="289">
        <v>0</v>
      </c>
      <c r="I126" s="294">
        <v>30</v>
      </c>
      <c r="J126" s="294">
        <v>0</v>
      </c>
      <c r="K126" s="294">
        <v>0</v>
      </c>
      <c r="L126" s="291">
        <v>10</v>
      </c>
      <c r="M126" s="291">
        <v>2</v>
      </c>
      <c r="N126" s="291">
        <v>2</v>
      </c>
      <c r="O126" s="290">
        <v>0.63571428571428568</v>
      </c>
      <c r="P126" s="290">
        <v>0.45428571428571429</v>
      </c>
      <c r="Q126" s="290">
        <v>1.0914285714285714</v>
      </c>
      <c r="R126" s="290">
        <v>0.17571428571428571</v>
      </c>
      <c r="S126" s="299"/>
      <c r="T126" s="299"/>
      <c r="U126" s="299">
        <v>4</v>
      </c>
    </row>
    <row r="127" spans="1:21" ht="15">
      <c r="A127" s="271"/>
      <c r="B127" s="289" t="s">
        <v>1665</v>
      </c>
      <c r="C127" s="294">
        <v>35</v>
      </c>
      <c r="D127" s="290">
        <v>8.75</v>
      </c>
      <c r="E127" s="291">
        <v>30</v>
      </c>
      <c r="F127" s="290">
        <v>6.125</v>
      </c>
      <c r="G127" s="294">
        <v>40</v>
      </c>
      <c r="H127" s="289">
        <v>0</v>
      </c>
      <c r="I127" s="294">
        <v>30</v>
      </c>
      <c r="J127" s="294">
        <v>0</v>
      </c>
      <c r="K127" s="294">
        <v>0</v>
      </c>
      <c r="L127" s="291">
        <v>10</v>
      </c>
      <c r="M127" s="291">
        <v>2</v>
      </c>
      <c r="N127" s="291">
        <v>2</v>
      </c>
      <c r="O127" s="290">
        <v>0.35</v>
      </c>
      <c r="P127" s="290">
        <v>0.28000000000000003</v>
      </c>
      <c r="Q127" s="290">
        <v>0.62</v>
      </c>
      <c r="R127" s="290">
        <v>0.13</v>
      </c>
      <c r="S127" s="299"/>
      <c r="T127" s="299"/>
      <c r="U127" s="299">
        <v>4</v>
      </c>
    </row>
    <row r="128" spans="1:21" ht="15">
      <c r="A128" s="271">
        <v>1</v>
      </c>
      <c r="B128" s="289" t="s">
        <v>1542</v>
      </c>
      <c r="C128" s="289">
        <v>150</v>
      </c>
      <c r="D128" s="290">
        <v>30</v>
      </c>
      <c r="E128" s="291">
        <v>30</v>
      </c>
      <c r="F128" s="290">
        <v>21</v>
      </c>
      <c r="G128" s="289">
        <v>90</v>
      </c>
      <c r="H128" s="289">
        <v>0</v>
      </c>
      <c r="I128" s="289">
        <v>30</v>
      </c>
      <c r="J128" s="289">
        <v>0</v>
      </c>
      <c r="K128" s="289">
        <v>0</v>
      </c>
      <c r="L128" s="291">
        <v>10</v>
      </c>
      <c r="M128" s="291">
        <v>5</v>
      </c>
      <c r="N128" s="291">
        <v>5</v>
      </c>
      <c r="O128" s="290">
        <v>0.33</v>
      </c>
      <c r="P128" s="290">
        <v>0.11</v>
      </c>
      <c r="Q128" s="290">
        <v>0.53</v>
      </c>
      <c r="R128" s="290">
        <v>0.02</v>
      </c>
      <c r="S128" s="315"/>
      <c r="T128" s="289"/>
      <c r="U128" s="300">
        <v>5</v>
      </c>
    </row>
    <row r="129" spans="1:21" ht="15">
      <c r="A129" s="271">
        <v>1</v>
      </c>
      <c r="B129" s="289" t="s">
        <v>1543</v>
      </c>
      <c r="C129" s="289">
        <v>25</v>
      </c>
      <c r="D129" s="290">
        <v>16.666666666666668</v>
      </c>
      <c r="E129" s="291">
        <v>30</v>
      </c>
      <c r="F129" s="290">
        <v>11.666666666666668</v>
      </c>
      <c r="G129" s="289">
        <v>80</v>
      </c>
      <c r="H129" s="289">
        <v>0</v>
      </c>
      <c r="I129" s="289">
        <v>60</v>
      </c>
      <c r="J129" s="289">
        <v>0</v>
      </c>
      <c r="K129" s="289">
        <v>0</v>
      </c>
      <c r="L129" s="291">
        <v>10</v>
      </c>
      <c r="M129" s="291">
        <v>8</v>
      </c>
      <c r="N129" s="291">
        <v>8</v>
      </c>
      <c r="O129" s="290">
        <v>2.3180000000000001</v>
      </c>
      <c r="P129" s="290">
        <v>1.9019999999999999</v>
      </c>
      <c r="Q129" s="290">
        <v>5.0040000000000004</v>
      </c>
      <c r="R129" s="290">
        <v>1.262</v>
      </c>
      <c r="S129" s="315"/>
      <c r="T129" s="299"/>
      <c r="U129" s="300">
        <v>1.5</v>
      </c>
    </row>
    <row r="130" spans="1:21" ht="15">
      <c r="A130" s="271"/>
      <c r="B130" s="289" t="s">
        <v>1544</v>
      </c>
      <c r="C130" s="289">
        <v>25</v>
      </c>
      <c r="D130" s="290">
        <v>16.666666666666668</v>
      </c>
      <c r="E130" s="291">
        <v>30</v>
      </c>
      <c r="F130" s="290">
        <v>11.666666666666668</v>
      </c>
      <c r="G130" s="289">
        <v>80</v>
      </c>
      <c r="H130" s="289">
        <v>0</v>
      </c>
      <c r="I130" s="289">
        <v>60</v>
      </c>
      <c r="J130" s="289">
        <v>0</v>
      </c>
      <c r="K130" s="289">
        <v>0</v>
      </c>
      <c r="L130" s="291">
        <v>10</v>
      </c>
      <c r="M130" s="291">
        <v>8</v>
      </c>
      <c r="N130" s="291">
        <v>8</v>
      </c>
      <c r="O130" s="290">
        <v>1.59</v>
      </c>
      <c r="P130" s="290">
        <v>0.95</v>
      </c>
      <c r="Q130" s="290">
        <v>1.63</v>
      </c>
      <c r="R130" s="290">
        <v>0.52</v>
      </c>
      <c r="S130" s="299"/>
      <c r="T130" s="299">
        <v>1.4</v>
      </c>
      <c r="U130" s="300">
        <v>1.5</v>
      </c>
    </row>
    <row r="131" spans="1:21" ht="15">
      <c r="A131" s="271"/>
      <c r="B131" s="289" t="s">
        <v>1545</v>
      </c>
      <c r="C131" s="289">
        <v>300</v>
      </c>
      <c r="D131" s="290">
        <v>60</v>
      </c>
      <c r="E131" s="291">
        <v>30</v>
      </c>
      <c r="F131" s="290">
        <v>42</v>
      </c>
      <c r="G131" s="289">
        <v>165</v>
      </c>
      <c r="H131" s="289">
        <v>0</v>
      </c>
      <c r="I131" s="289">
        <v>60</v>
      </c>
      <c r="J131" s="289">
        <v>0</v>
      </c>
      <c r="K131" s="289">
        <v>0</v>
      </c>
      <c r="L131" s="291">
        <v>10</v>
      </c>
      <c r="M131" s="291">
        <v>17</v>
      </c>
      <c r="N131" s="291">
        <v>17</v>
      </c>
      <c r="O131" s="290">
        <v>0.42</v>
      </c>
      <c r="P131" s="290">
        <v>0.16</v>
      </c>
      <c r="Q131" s="290">
        <v>0.76</v>
      </c>
      <c r="R131" s="290">
        <v>0.16</v>
      </c>
      <c r="S131" s="315"/>
      <c r="T131" s="289"/>
      <c r="U131" s="300">
        <v>5</v>
      </c>
    </row>
    <row r="132" spans="1:21" ht="15">
      <c r="A132" s="271">
        <v>1</v>
      </c>
      <c r="B132" s="289" t="s">
        <v>1546</v>
      </c>
      <c r="C132" s="289">
        <v>120</v>
      </c>
      <c r="D132" s="290">
        <v>12</v>
      </c>
      <c r="E132" s="291">
        <v>30</v>
      </c>
      <c r="F132" s="290">
        <v>8.4</v>
      </c>
      <c r="G132" s="289">
        <v>95</v>
      </c>
      <c r="H132" s="289">
        <v>0</v>
      </c>
      <c r="I132" s="289">
        <v>60</v>
      </c>
      <c r="J132" s="289">
        <v>0</v>
      </c>
      <c r="K132" s="289">
        <v>0</v>
      </c>
      <c r="L132" s="291">
        <v>10</v>
      </c>
      <c r="M132" s="291">
        <v>5</v>
      </c>
      <c r="N132" s="291">
        <v>5</v>
      </c>
      <c r="O132" s="290">
        <v>0.45</v>
      </c>
      <c r="P132" s="290">
        <v>0.16</v>
      </c>
      <c r="Q132" s="290">
        <v>0.8</v>
      </c>
      <c r="R132" s="290">
        <v>0.05</v>
      </c>
      <c r="S132" s="315"/>
      <c r="T132" s="289"/>
      <c r="U132" s="300">
        <v>10</v>
      </c>
    </row>
    <row r="133" spans="1:21" ht="15">
      <c r="A133" s="271"/>
      <c r="B133" s="289" t="s">
        <v>1547</v>
      </c>
      <c r="C133" s="289">
        <v>250</v>
      </c>
      <c r="D133" s="290">
        <v>50</v>
      </c>
      <c r="E133" s="291">
        <v>30</v>
      </c>
      <c r="F133" s="290">
        <v>35</v>
      </c>
      <c r="G133" s="289">
        <v>170</v>
      </c>
      <c r="H133" s="289">
        <v>0</v>
      </c>
      <c r="I133" s="289">
        <v>60</v>
      </c>
      <c r="J133" s="289">
        <v>0</v>
      </c>
      <c r="K133" s="289">
        <v>0</v>
      </c>
      <c r="L133" s="291">
        <v>10</v>
      </c>
      <c r="M133" s="291">
        <v>17</v>
      </c>
      <c r="N133" s="291">
        <v>17</v>
      </c>
      <c r="O133" s="290">
        <v>0.51</v>
      </c>
      <c r="P133" s="290">
        <v>0.14000000000000001</v>
      </c>
      <c r="Q133" s="290">
        <v>0.84</v>
      </c>
      <c r="R133" s="290">
        <v>0.11</v>
      </c>
      <c r="S133" s="315"/>
      <c r="T133" s="289"/>
      <c r="U133" s="300">
        <v>5</v>
      </c>
    </row>
    <row r="134" spans="1:21" ht="15">
      <c r="A134" s="271">
        <v>1</v>
      </c>
      <c r="B134" s="289" t="s">
        <v>1548</v>
      </c>
      <c r="C134" s="289">
        <v>15</v>
      </c>
      <c r="D134" s="290">
        <v>8.6666666666666661</v>
      </c>
      <c r="E134" s="291">
        <v>30</v>
      </c>
      <c r="F134" s="290">
        <v>6.0666666666666664</v>
      </c>
      <c r="G134" s="289">
        <v>100</v>
      </c>
      <c r="H134" s="289">
        <v>0</v>
      </c>
      <c r="I134" s="289">
        <v>60</v>
      </c>
      <c r="J134" s="289">
        <v>0</v>
      </c>
      <c r="K134" s="289">
        <v>0</v>
      </c>
      <c r="L134" s="291">
        <v>10</v>
      </c>
      <c r="M134" s="291">
        <v>10</v>
      </c>
      <c r="N134" s="291">
        <v>10</v>
      </c>
      <c r="O134" s="290">
        <v>5.3266666666666671</v>
      </c>
      <c r="P134" s="290">
        <v>2.4266666666666672</v>
      </c>
      <c r="Q134" s="290">
        <v>5.1400000000000006</v>
      </c>
      <c r="R134" s="290">
        <v>1.0466666666666666</v>
      </c>
      <c r="S134" s="315"/>
      <c r="T134" s="299"/>
      <c r="U134" s="300">
        <v>1.5</v>
      </c>
    </row>
    <row r="135" spans="1:21" ht="15">
      <c r="A135" s="271"/>
      <c r="B135" s="289" t="s">
        <v>1549</v>
      </c>
      <c r="C135" s="289">
        <v>15</v>
      </c>
      <c r="D135" s="290">
        <v>8.6666666666666661</v>
      </c>
      <c r="E135" s="291">
        <v>30</v>
      </c>
      <c r="F135" s="290">
        <v>6.0666666666666664</v>
      </c>
      <c r="G135" s="289">
        <v>100</v>
      </c>
      <c r="H135" s="289">
        <v>0</v>
      </c>
      <c r="I135" s="289">
        <v>60</v>
      </c>
      <c r="J135" s="289">
        <v>0</v>
      </c>
      <c r="K135" s="289">
        <v>0</v>
      </c>
      <c r="L135" s="291">
        <v>10</v>
      </c>
      <c r="M135" s="291">
        <v>10</v>
      </c>
      <c r="N135" s="291">
        <v>10</v>
      </c>
      <c r="O135" s="290">
        <v>2.06</v>
      </c>
      <c r="P135" s="290">
        <v>1.1200000000000001</v>
      </c>
      <c r="Q135" s="290">
        <v>0.66</v>
      </c>
      <c r="R135" s="290">
        <v>0.3</v>
      </c>
      <c r="S135" s="299"/>
      <c r="T135" s="299">
        <v>9.3000000000000007</v>
      </c>
      <c r="U135" s="300">
        <v>1.5</v>
      </c>
    </row>
    <row r="136" spans="1:21" ht="15">
      <c r="A136" s="271"/>
      <c r="B136" s="289" t="s">
        <v>1666</v>
      </c>
      <c r="C136" s="294">
        <v>150</v>
      </c>
      <c r="D136" s="290">
        <v>30</v>
      </c>
      <c r="E136" s="291">
        <v>30</v>
      </c>
      <c r="F136" s="290">
        <v>21</v>
      </c>
      <c r="G136" s="294">
        <v>115</v>
      </c>
      <c r="H136" s="289">
        <v>0</v>
      </c>
      <c r="I136" s="294">
        <v>30</v>
      </c>
      <c r="J136" s="294">
        <v>0</v>
      </c>
      <c r="K136" s="294">
        <v>0</v>
      </c>
      <c r="L136" s="291">
        <v>10</v>
      </c>
      <c r="M136" s="291">
        <v>12</v>
      </c>
      <c r="N136" s="291">
        <v>12</v>
      </c>
      <c r="O136" s="290">
        <v>0.6166666666666667</v>
      </c>
      <c r="P136" s="290">
        <v>0.29333333333333333</v>
      </c>
      <c r="Q136" s="290">
        <v>0.71</v>
      </c>
      <c r="R136" s="290">
        <v>0.42</v>
      </c>
      <c r="S136" s="299"/>
      <c r="T136" s="299"/>
      <c r="U136" s="299">
        <v>5</v>
      </c>
    </row>
    <row r="137" spans="1:21" ht="15">
      <c r="A137" s="271">
        <v>1</v>
      </c>
      <c r="B137" s="289" t="s">
        <v>1667</v>
      </c>
      <c r="C137" s="294">
        <v>150</v>
      </c>
      <c r="D137" s="290">
        <v>30</v>
      </c>
      <c r="E137" s="291">
        <v>30</v>
      </c>
      <c r="F137" s="290">
        <v>21</v>
      </c>
      <c r="G137" s="294">
        <v>115</v>
      </c>
      <c r="H137" s="289">
        <v>0</v>
      </c>
      <c r="I137" s="294">
        <v>30</v>
      </c>
      <c r="J137" s="294">
        <v>0</v>
      </c>
      <c r="K137" s="294">
        <v>0</v>
      </c>
      <c r="L137" s="291">
        <v>10</v>
      </c>
      <c r="M137" s="291">
        <v>12</v>
      </c>
      <c r="N137" s="291">
        <v>12</v>
      </c>
      <c r="O137" s="290">
        <v>0.25</v>
      </c>
      <c r="P137" s="290">
        <v>0.18</v>
      </c>
      <c r="Q137" s="290">
        <v>0.27</v>
      </c>
      <c r="R137" s="290">
        <v>0.2</v>
      </c>
      <c r="S137" s="299"/>
      <c r="T137" s="299"/>
      <c r="U137" s="299">
        <v>5</v>
      </c>
    </row>
    <row r="138" spans="1:21" ht="15">
      <c r="A138" s="271"/>
      <c r="B138" s="289" t="s">
        <v>1668</v>
      </c>
      <c r="C138" s="294">
        <v>160</v>
      </c>
      <c r="D138" s="290">
        <v>32</v>
      </c>
      <c r="E138" s="291">
        <v>30</v>
      </c>
      <c r="F138" s="290">
        <v>22.4</v>
      </c>
      <c r="G138" s="294">
        <v>100</v>
      </c>
      <c r="H138" s="289">
        <v>0</v>
      </c>
      <c r="I138" s="294">
        <v>60</v>
      </c>
      <c r="J138" s="294">
        <v>0</v>
      </c>
      <c r="K138" s="294">
        <v>0</v>
      </c>
      <c r="L138" s="291">
        <v>10</v>
      </c>
      <c r="M138" s="291">
        <v>10</v>
      </c>
      <c r="N138" s="291">
        <v>10</v>
      </c>
      <c r="O138" s="290">
        <v>0.49</v>
      </c>
      <c r="P138" s="290">
        <v>0.15</v>
      </c>
      <c r="Q138" s="290">
        <v>0.67</v>
      </c>
      <c r="R138" s="290">
        <v>0.18</v>
      </c>
      <c r="S138" s="299"/>
      <c r="T138" s="299"/>
      <c r="U138" s="299">
        <v>5</v>
      </c>
    </row>
    <row r="139" spans="1:21" ht="15">
      <c r="A139" s="271">
        <v>1</v>
      </c>
      <c r="B139" s="289" t="s">
        <v>1550</v>
      </c>
      <c r="C139" s="289">
        <v>120</v>
      </c>
      <c r="D139" s="290">
        <v>24</v>
      </c>
      <c r="E139" s="291">
        <v>30</v>
      </c>
      <c r="F139" s="290">
        <v>16.8</v>
      </c>
      <c r="G139" s="289">
        <v>100</v>
      </c>
      <c r="H139" s="289">
        <v>0</v>
      </c>
      <c r="I139" s="289">
        <v>30</v>
      </c>
      <c r="J139" s="289">
        <v>0</v>
      </c>
      <c r="K139" s="289">
        <v>0</v>
      </c>
      <c r="L139" s="291">
        <v>10</v>
      </c>
      <c r="M139" s="291">
        <v>5</v>
      </c>
      <c r="N139" s="291">
        <v>5</v>
      </c>
      <c r="O139" s="290">
        <v>0.5</v>
      </c>
      <c r="P139" s="290">
        <v>0.14000000000000001</v>
      </c>
      <c r="Q139" s="290">
        <v>0.52</v>
      </c>
      <c r="R139" s="290">
        <v>0.17</v>
      </c>
      <c r="S139" s="289"/>
      <c r="T139" s="289"/>
      <c r="U139" s="300">
        <v>5</v>
      </c>
    </row>
    <row r="140" spans="1:21" ht="15">
      <c r="A140" s="271"/>
      <c r="B140" s="289" t="s">
        <v>1669</v>
      </c>
      <c r="C140" s="294">
        <v>50</v>
      </c>
      <c r="D140" s="290">
        <v>10</v>
      </c>
      <c r="E140" s="291">
        <v>30</v>
      </c>
      <c r="F140" s="290">
        <v>7</v>
      </c>
      <c r="G140" s="294">
        <v>115</v>
      </c>
      <c r="H140" s="289">
        <v>0</v>
      </c>
      <c r="I140" s="294">
        <v>60</v>
      </c>
      <c r="J140" s="294">
        <v>0</v>
      </c>
      <c r="K140" s="294">
        <v>0</v>
      </c>
      <c r="L140" s="291">
        <v>10</v>
      </c>
      <c r="M140" s="291">
        <v>12</v>
      </c>
      <c r="N140" s="291">
        <v>12</v>
      </c>
      <c r="O140" s="290">
        <v>0.63</v>
      </c>
      <c r="P140" s="290">
        <v>0.15</v>
      </c>
      <c r="Q140" s="290">
        <v>0.91</v>
      </c>
      <c r="R140" s="290">
        <v>0.35</v>
      </c>
      <c r="S140" s="299"/>
      <c r="T140" s="299"/>
      <c r="U140" s="299">
        <v>5</v>
      </c>
    </row>
    <row r="141" spans="1:21" ht="15">
      <c r="A141" s="271"/>
      <c r="B141" s="289" t="s">
        <v>1670</v>
      </c>
      <c r="C141" s="294">
        <v>130</v>
      </c>
      <c r="D141" s="290">
        <v>26</v>
      </c>
      <c r="E141" s="291">
        <v>30</v>
      </c>
      <c r="F141" s="290">
        <v>18.2</v>
      </c>
      <c r="G141" s="294">
        <v>115</v>
      </c>
      <c r="H141" s="289">
        <v>0</v>
      </c>
      <c r="I141" s="294">
        <v>60</v>
      </c>
      <c r="J141" s="294">
        <v>0</v>
      </c>
      <c r="K141" s="294">
        <v>0</v>
      </c>
      <c r="L141" s="291">
        <v>10</v>
      </c>
      <c r="M141" s="291">
        <v>12</v>
      </c>
      <c r="N141" s="291">
        <v>12</v>
      </c>
      <c r="O141" s="290">
        <v>0.56230769230769229</v>
      </c>
      <c r="P141" s="317">
        <v>0.2076923076923077</v>
      </c>
      <c r="Q141" s="290">
        <v>0.91000000000000014</v>
      </c>
      <c r="R141" s="290">
        <v>0.18461538461538463</v>
      </c>
      <c r="S141" s="299"/>
      <c r="T141" s="299"/>
      <c r="U141" s="299">
        <v>5</v>
      </c>
    </row>
    <row r="142" spans="1:21" ht="15">
      <c r="A142" s="271"/>
      <c r="B142" s="289" t="s">
        <v>1671</v>
      </c>
      <c r="C142" s="294">
        <v>130</v>
      </c>
      <c r="D142" s="290">
        <v>26</v>
      </c>
      <c r="E142" s="291">
        <v>30</v>
      </c>
      <c r="F142" s="290">
        <v>18.2</v>
      </c>
      <c r="G142" s="294">
        <v>115</v>
      </c>
      <c r="H142" s="289">
        <v>0</v>
      </c>
      <c r="I142" s="294">
        <v>60</v>
      </c>
      <c r="J142" s="294">
        <v>0</v>
      </c>
      <c r="K142" s="294">
        <v>0</v>
      </c>
      <c r="L142" s="291">
        <v>10</v>
      </c>
      <c r="M142" s="291">
        <v>12</v>
      </c>
      <c r="N142" s="291">
        <v>12</v>
      </c>
      <c r="O142" s="290">
        <v>0.32</v>
      </c>
      <c r="P142" s="317">
        <v>0.15</v>
      </c>
      <c r="Q142" s="290">
        <v>0.56000000000000005</v>
      </c>
      <c r="R142" s="290">
        <v>0.05</v>
      </c>
      <c r="S142" s="299"/>
      <c r="T142" s="299"/>
      <c r="U142" s="299">
        <v>5</v>
      </c>
    </row>
    <row r="143" spans="1:21" ht="15">
      <c r="A143" s="271"/>
      <c r="B143" s="289" t="s">
        <v>1551</v>
      </c>
      <c r="C143" s="289">
        <v>240</v>
      </c>
      <c r="D143" s="290">
        <v>24</v>
      </c>
      <c r="E143" s="291">
        <v>30</v>
      </c>
      <c r="F143" s="290">
        <v>16.8</v>
      </c>
      <c r="G143" s="289">
        <v>160</v>
      </c>
      <c r="H143" s="289">
        <v>0</v>
      </c>
      <c r="I143" s="289">
        <v>60</v>
      </c>
      <c r="J143" s="289">
        <v>0</v>
      </c>
      <c r="K143" s="289">
        <v>0</v>
      </c>
      <c r="L143" s="291">
        <v>10</v>
      </c>
      <c r="M143" s="291">
        <v>16</v>
      </c>
      <c r="N143" s="291">
        <v>16</v>
      </c>
      <c r="O143" s="290">
        <v>0.45</v>
      </c>
      <c r="P143" s="290">
        <v>0.12</v>
      </c>
      <c r="Q143" s="290">
        <v>0.53</v>
      </c>
      <c r="R143" s="290">
        <v>0.06</v>
      </c>
      <c r="S143" s="315"/>
      <c r="T143" s="289"/>
      <c r="U143" s="300">
        <v>10</v>
      </c>
    </row>
    <row r="144" spans="1:21" ht="15">
      <c r="A144" s="271"/>
      <c r="B144" s="289" t="s">
        <v>1552</v>
      </c>
      <c r="C144" s="289">
        <v>160</v>
      </c>
      <c r="D144" s="290">
        <v>16</v>
      </c>
      <c r="E144" s="291">
        <v>30</v>
      </c>
      <c r="F144" s="290">
        <v>11.2</v>
      </c>
      <c r="G144" s="289">
        <v>100</v>
      </c>
      <c r="H144" s="289">
        <v>0</v>
      </c>
      <c r="I144" s="289">
        <v>60</v>
      </c>
      <c r="J144" s="289">
        <v>0</v>
      </c>
      <c r="K144" s="289">
        <v>0</v>
      </c>
      <c r="L144" s="291">
        <v>10</v>
      </c>
      <c r="M144" s="291">
        <v>5</v>
      </c>
      <c r="N144" s="291">
        <v>5</v>
      </c>
      <c r="O144" s="290">
        <v>0.45</v>
      </c>
      <c r="P144" s="290">
        <v>0.12</v>
      </c>
      <c r="Q144" s="290">
        <v>0.53</v>
      </c>
      <c r="R144" s="290">
        <v>0.06</v>
      </c>
      <c r="S144" s="315"/>
      <c r="T144" s="289"/>
      <c r="U144" s="300">
        <v>10</v>
      </c>
    </row>
    <row r="145" spans="1:21" ht="15">
      <c r="A145" s="271">
        <v>1</v>
      </c>
      <c r="B145" s="289" t="s">
        <v>1672</v>
      </c>
      <c r="C145" s="294">
        <v>500</v>
      </c>
      <c r="D145" s="290">
        <v>50</v>
      </c>
      <c r="E145" s="291">
        <v>30</v>
      </c>
      <c r="F145" s="290">
        <v>35</v>
      </c>
      <c r="G145" s="294">
        <v>285</v>
      </c>
      <c r="H145" s="289">
        <v>0</v>
      </c>
      <c r="I145" s="294">
        <v>60</v>
      </c>
      <c r="J145" s="294">
        <v>0</v>
      </c>
      <c r="K145" s="294">
        <v>0</v>
      </c>
      <c r="L145" s="291">
        <v>10</v>
      </c>
      <c r="M145" s="291">
        <v>29</v>
      </c>
      <c r="N145" s="291">
        <v>14</v>
      </c>
      <c r="O145" s="290">
        <v>0.49</v>
      </c>
      <c r="P145" s="290">
        <v>0.13</v>
      </c>
      <c r="Q145" s="290">
        <v>1.08</v>
      </c>
      <c r="R145" s="290">
        <v>0.08</v>
      </c>
      <c r="S145" s="299"/>
      <c r="T145" s="299"/>
      <c r="U145" s="299">
        <v>10</v>
      </c>
    </row>
    <row r="146" spans="1:21" ht="15">
      <c r="A146" s="271"/>
      <c r="B146" s="289" t="s">
        <v>1553</v>
      </c>
      <c r="C146" s="289">
        <v>400</v>
      </c>
      <c r="D146" s="290">
        <v>80</v>
      </c>
      <c r="E146" s="291">
        <v>30</v>
      </c>
      <c r="F146" s="290">
        <v>56</v>
      </c>
      <c r="G146" s="289">
        <v>210</v>
      </c>
      <c r="H146" s="289">
        <v>0</v>
      </c>
      <c r="I146" s="289">
        <v>30</v>
      </c>
      <c r="J146" s="289">
        <v>0</v>
      </c>
      <c r="K146" s="289">
        <v>0</v>
      </c>
      <c r="L146" s="291">
        <v>10</v>
      </c>
      <c r="M146" s="291">
        <v>21</v>
      </c>
      <c r="N146" s="291">
        <v>21</v>
      </c>
      <c r="O146" s="290">
        <v>0.42</v>
      </c>
      <c r="P146" s="290">
        <v>0.11</v>
      </c>
      <c r="Q146" s="290">
        <v>0.55000000000000004</v>
      </c>
      <c r="R146" s="290">
        <v>0.08</v>
      </c>
      <c r="S146" s="315"/>
      <c r="T146" s="289"/>
      <c r="U146" s="300">
        <v>5</v>
      </c>
    </row>
    <row r="147" spans="1:21" ht="15">
      <c r="A147" s="271"/>
      <c r="B147" s="289" t="s">
        <v>1554</v>
      </c>
      <c r="C147" s="294">
        <v>600</v>
      </c>
      <c r="D147" s="290">
        <v>120</v>
      </c>
      <c r="E147" s="291">
        <v>30</v>
      </c>
      <c r="F147" s="290">
        <v>84</v>
      </c>
      <c r="G147" s="294">
        <v>215</v>
      </c>
      <c r="H147" s="289">
        <v>0</v>
      </c>
      <c r="I147" s="294">
        <v>60</v>
      </c>
      <c r="J147" s="294">
        <v>0</v>
      </c>
      <c r="K147" s="294">
        <v>0</v>
      </c>
      <c r="L147" s="291">
        <v>10</v>
      </c>
      <c r="M147" s="291">
        <v>22</v>
      </c>
      <c r="N147" s="291">
        <v>22</v>
      </c>
      <c r="O147" s="290">
        <v>0.28999999999999998</v>
      </c>
      <c r="P147" s="290">
        <v>7.0000000000000007E-2</v>
      </c>
      <c r="Q147" s="290">
        <v>0.5</v>
      </c>
      <c r="R147" s="290">
        <v>0.05</v>
      </c>
      <c r="S147" s="299"/>
      <c r="T147" s="299"/>
      <c r="U147" s="300">
        <v>5</v>
      </c>
    </row>
    <row r="148" spans="1:21" ht="15">
      <c r="A148" s="271"/>
      <c r="B148" s="289" t="s">
        <v>1555</v>
      </c>
      <c r="C148" s="289">
        <v>50</v>
      </c>
      <c r="D148" s="290">
        <v>5</v>
      </c>
      <c r="E148" s="291">
        <v>30</v>
      </c>
      <c r="F148" s="290">
        <v>3.5</v>
      </c>
      <c r="G148" s="289">
        <v>185</v>
      </c>
      <c r="H148" s="289">
        <v>0</v>
      </c>
      <c r="I148" s="289">
        <v>60</v>
      </c>
      <c r="J148" s="289">
        <v>0</v>
      </c>
      <c r="K148" s="289">
        <v>0</v>
      </c>
      <c r="L148" s="291">
        <v>10</v>
      </c>
      <c r="M148" s="291">
        <v>19</v>
      </c>
      <c r="N148" s="291">
        <v>19</v>
      </c>
      <c r="O148" s="290">
        <v>2.9099999999999997</v>
      </c>
      <c r="P148" s="290">
        <v>0.75000000000000011</v>
      </c>
      <c r="Q148" s="290">
        <v>6.76</v>
      </c>
      <c r="R148" s="290">
        <v>0.59000000000000008</v>
      </c>
      <c r="S148" s="299"/>
      <c r="T148" s="299"/>
      <c r="U148" s="300">
        <v>10</v>
      </c>
    </row>
    <row r="149" spans="1:21" ht="15">
      <c r="A149" s="271"/>
      <c r="B149" s="289" t="s">
        <v>1556</v>
      </c>
      <c r="C149" s="289">
        <v>50</v>
      </c>
      <c r="D149" s="290">
        <v>5</v>
      </c>
      <c r="E149" s="291">
        <v>30</v>
      </c>
      <c r="F149" s="290">
        <v>3.5</v>
      </c>
      <c r="G149" s="289">
        <v>185</v>
      </c>
      <c r="H149" s="289">
        <v>0</v>
      </c>
      <c r="I149" s="289">
        <v>60</v>
      </c>
      <c r="J149" s="289">
        <v>0</v>
      </c>
      <c r="K149" s="289">
        <v>0</v>
      </c>
      <c r="L149" s="291">
        <v>10</v>
      </c>
      <c r="M149" s="291">
        <v>19</v>
      </c>
      <c r="N149" s="291">
        <v>19</v>
      </c>
      <c r="O149" s="290">
        <v>0.3</v>
      </c>
      <c r="P149" s="290">
        <v>0.12</v>
      </c>
      <c r="Q149" s="290">
        <v>0.46</v>
      </c>
      <c r="R149" s="290">
        <v>0.05</v>
      </c>
      <c r="S149" s="315"/>
      <c r="T149" s="289">
        <v>9</v>
      </c>
      <c r="U149" s="300">
        <v>10</v>
      </c>
    </row>
    <row r="150" spans="1:21" ht="30">
      <c r="A150" s="271"/>
      <c r="B150" s="289" t="s">
        <v>1673</v>
      </c>
      <c r="C150" s="294">
        <v>50</v>
      </c>
      <c r="D150" s="290">
        <v>10</v>
      </c>
      <c r="E150" s="291">
        <v>30</v>
      </c>
      <c r="F150" s="290">
        <v>7</v>
      </c>
      <c r="G150" s="294">
        <v>50</v>
      </c>
      <c r="H150" s="289">
        <v>0</v>
      </c>
      <c r="I150" s="294">
        <v>60</v>
      </c>
      <c r="J150" s="294">
        <v>0</v>
      </c>
      <c r="K150" s="294">
        <v>0</v>
      </c>
      <c r="L150" s="291">
        <v>10</v>
      </c>
      <c r="M150" s="291">
        <v>3</v>
      </c>
      <c r="N150" s="291">
        <v>3</v>
      </c>
      <c r="O150" s="290">
        <v>0.62</v>
      </c>
      <c r="P150" s="290">
        <v>0.15</v>
      </c>
      <c r="Q150" s="290">
        <v>0.56000000000000005</v>
      </c>
      <c r="R150" s="290">
        <v>0.05</v>
      </c>
      <c r="S150" s="299"/>
      <c r="T150" s="299"/>
      <c r="U150" s="299">
        <v>5</v>
      </c>
    </row>
    <row r="151" spans="1:21" ht="15">
      <c r="A151" s="271"/>
      <c r="B151" s="289" t="s">
        <v>1557</v>
      </c>
      <c r="C151" s="289">
        <v>80</v>
      </c>
      <c r="D151" s="290">
        <v>16</v>
      </c>
      <c r="E151" s="291">
        <v>30</v>
      </c>
      <c r="F151" s="290">
        <v>11.2</v>
      </c>
      <c r="G151" s="289">
        <v>65</v>
      </c>
      <c r="H151" s="289">
        <v>0</v>
      </c>
      <c r="I151" s="289">
        <v>30</v>
      </c>
      <c r="J151" s="289">
        <v>0</v>
      </c>
      <c r="K151" s="289">
        <v>0</v>
      </c>
      <c r="L151" s="291">
        <v>10</v>
      </c>
      <c r="M151" s="291">
        <v>7</v>
      </c>
      <c r="N151" s="291">
        <v>7</v>
      </c>
      <c r="O151" s="290">
        <v>0.57999999999999996</v>
      </c>
      <c r="P151" s="290">
        <v>0.09</v>
      </c>
      <c r="Q151" s="290">
        <v>0.5</v>
      </c>
      <c r="R151" s="290">
        <v>0.3</v>
      </c>
      <c r="S151" s="315"/>
      <c r="T151" s="299">
        <v>0.5</v>
      </c>
      <c r="U151" s="300">
        <v>5</v>
      </c>
    </row>
    <row r="152" spans="1:21" ht="15">
      <c r="A152" s="271"/>
      <c r="B152" s="289" t="s">
        <v>1674</v>
      </c>
      <c r="C152" s="289">
        <v>200</v>
      </c>
      <c r="D152" s="290">
        <v>40</v>
      </c>
      <c r="E152" s="291">
        <v>30</v>
      </c>
      <c r="F152" s="290">
        <v>28</v>
      </c>
      <c r="G152" s="289">
        <v>175</v>
      </c>
      <c r="H152" s="289">
        <v>0</v>
      </c>
      <c r="I152" s="289">
        <v>60</v>
      </c>
      <c r="J152" s="289">
        <v>0</v>
      </c>
      <c r="K152" s="289">
        <v>0</v>
      </c>
      <c r="L152" s="291">
        <v>10</v>
      </c>
      <c r="M152" s="291">
        <v>18</v>
      </c>
      <c r="N152" s="291">
        <v>18</v>
      </c>
      <c r="O152" s="290">
        <v>0.76700000000000002</v>
      </c>
      <c r="P152" s="290">
        <v>0.28400000000000003</v>
      </c>
      <c r="Q152" s="290">
        <v>1.6529999999999998</v>
      </c>
      <c r="R152" s="290">
        <v>0.30099999999999999</v>
      </c>
      <c r="S152" s="299"/>
      <c r="T152" s="299"/>
      <c r="U152" s="300">
        <v>5</v>
      </c>
    </row>
    <row r="153" spans="1:21" ht="15">
      <c r="A153" s="271"/>
      <c r="B153" s="289" t="s">
        <v>1675</v>
      </c>
      <c r="C153" s="289">
        <v>200</v>
      </c>
      <c r="D153" s="290">
        <v>40</v>
      </c>
      <c r="E153" s="291">
        <v>30</v>
      </c>
      <c r="F153" s="290">
        <v>28</v>
      </c>
      <c r="G153" s="289">
        <v>175</v>
      </c>
      <c r="H153" s="289">
        <v>0</v>
      </c>
      <c r="I153" s="289">
        <v>60</v>
      </c>
      <c r="J153" s="289">
        <v>0</v>
      </c>
      <c r="K153" s="289">
        <v>0</v>
      </c>
      <c r="L153" s="291">
        <v>10</v>
      </c>
      <c r="M153" s="291">
        <v>18</v>
      </c>
      <c r="N153" s="291">
        <v>18</v>
      </c>
      <c r="O153" s="290">
        <v>0.36</v>
      </c>
      <c r="P153" s="290">
        <v>0.13</v>
      </c>
      <c r="Q153" s="290">
        <v>0.41</v>
      </c>
      <c r="R153" s="290">
        <v>0.18</v>
      </c>
      <c r="S153" s="315"/>
      <c r="T153" s="299">
        <v>1.1000000000000001</v>
      </c>
      <c r="U153" s="300">
        <v>5</v>
      </c>
    </row>
    <row r="154" spans="1:21" ht="15">
      <c r="A154" s="271"/>
      <c r="B154" s="289" t="s">
        <v>1676</v>
      </c>
      <c r="C154" s="289">
        <v>350</v>
      </c>
      <c r="D154" s="290">
        <v>70</v>
      </c>
      <c r="E154" s="291">
        <v>30</v>
      </c>
      <c r="F154" s="290">
        <v>49</v>
      </c>
      <c r="G154" s="289">
        <v>210</v>
      </c>
      <c r="H154" s="289">
        <v>0</v>
      </c>
      <c r="I154" s="289">
        <v>60</v>
      </c>
      <c r="J154" s="289">
        <v>0</v>
      </c>
      <c r="K154" s="289">
        <v>0</v>
      </c>
      <c r="L154" s="291">
        <v>10</v>
      </c>
      <c r="M154" s="291">
        <v>21</v>
      </c>
      <c r="N154" s="291">
        <v>21</v>
      </c>
      <c r="O154" s="290">
        <v>0.49</v>
      </c>
      <c r="P154" s="290">
        <v>0.11</v>
      </c>
      <c r="Q154" s="290">
        <v>0.62</v>
      </c>
      <c r="R154" s="290">
        <v>0.13</v>
      </c>
      <c r="S154" s="315"/>
      <c r="T154" s="299"/>
      <c r="U154" s="300">
        <v>5</v>
      </c>
    </row>
    <row r="155" spans="1:21" ht="15">
      <c r="A155" s="271"/>
      <c r="B155" s="289" t="s">
        <v>1558</v>
      </c>
      <c r="C155" s="289">
        <v>80</v>
      </c>
      <c r="D155" s="290">
        <v>16</v>
      </c>
      <c r="E155" s="291">
        <v>30</v>
      </c>
      <c r="F155" s="290">
        <v>11.2</v>
      </c>
      <c r="G155" s="289">
        <v>110</v>
      </c>
      <c r="H155" s="289">
        <v>0</v>
      </c>
      <c r="I155" s="289">
        <v>30</v>
      </c>
      <c r="J155" s="289">
        <v>0</v>
      </c>
      <c r="K155" s="289">
        <v>0</v>
      </c>
      <c r="L155" s="291">
        <v>10</v>
      </c>
      <c r="M155" s="291">
        <v>11</v>
      </c>
      <c r="N155" s="291">
        <v>11</v>
      </c>
      <c r="O155" s="290">
        <v>1.1099999999999999</v>
      </c>
      <c r="P155" s="290">
        <v>0.38</v>
      </c>
      <c r="Q155" s="290">
        <v>1.53</v>
      </c>
      <c r="R155" s="290">
        <v>0.14000000000000001</v>
      </c>
      <c r="S155" s="299"/>
      <c r="T155" s="299"/>
      <c r="U155" s="300">
        <v>5</v>
      </c>
    </row>
    <row r="156" spans="1:21" ht="15">
      <c r="A156" s="271"/>
      <c r="B156" s="289" t="s">
        <v>1559</v>
      </c>
      <c r="C156" s="289">
        <v>80</v>
      </c>
      <c r="D156" s="290">
        <v>16</v>
      </c>
      <c r="E156" s="291">
        <v>30</v>
      </c>
      <c r="F156" s="290">
        <v>11.2</v>
      </c>
      <c r="G156" s="289">
        <v>110</v>
      </c>
      <c r="H156" s="289">
        <v>0</v>
      </c>
      <c r="I156" s="289">
        <v>30</v>
      </c>
      <c r="J156" s="289">
        <v>0</v>
      </c>
      <c r="K156" s="289">
        <v>0</v>
      </c>
      <c r="L156" s="291">
        <v>10</v>
      </c>
      <c r="M156" s="291">
        <v>11</v>
      </c>
      <c r="N156" s="291">
        <v>11</v>
      </c>
      <c r="O156" s="290">
        <v>0.5</v>
      </c>
      <c r="P156" s="290">
        <v>0.23</v>
      </c>
      <c r="Q156" s="290">
        <v>0.64</v>
      </c>
      <c r="R156" s="290">
        <v>7.0000000000000007E-2</v>
      </c>
      <c r="S156" s="315"/>
      <c r="T156" s="289">
        <v>1</v>
      </c>
      <c r="U156" s="300">
        <v>5</v>
      </c>
    </row>
    <row r="157" spans="1:21" ht="15">
      <c r="A157" s="271"/>
      <c r="B157" s="289" t="s">
        <v>1580</v>
      </c>
      <c r="C157" s="294">
        <v>100</v>
      </c>
      <c r="D157" s="290">
        <v>20</v>
      </c>
      <c r="E157" s="291">
        <v>30</v>
      </c>
      <c r="F157" s="290">
        <v>14</v>
      </c>
      <c r="G157" s="289">
        <v>100</v>
      </c>
      <c r="H157" s="289">
        <v>0</v>
      </c>
      <c r="I157" s="294">
        <v>60</v>
      </c>
      <c r="J157" s="294">
        <v>0</v>
      </c>
      <c r="K157" s="294">
        <v>0</v>
      </c>
      <c r="L157" s="291">
        <v>10</v>
      </c>
      <c r="M157" s="291">
        <v>10</v>
      </c>
      <c r="N157" s="291">
        <v>10</v>
      </c>
      <c r="O157" s="290">
        <v>0.78</v>
      </c>
      <c r="P157" s="290">
        <v>0.28000000000000003</v>
      </c>
      <c r="Q157" s="290">
        <v>1.75</v>
      </c>
      <c r="R157" s="290">
        <v>0.18</v>
      </c>
      <c r="S157" s="299"/>
      <c r="T157" s="299"/>
      <c r="U157" s="300">
        <v>5</v>
      </c>
    </row>
    <row r="158" spans="1:21" ht="15">
      <c r="A158" s="271"/>
      <c r="B158" s="289" t="s">
        <v>1560</v>
      </c>
      <c r="C158" s="289">
        <v>100</v>
      </c>
      <c r="D158" s="290">
        <v>20</v>
      </c>
      <c r="E158" s="291">
        <v>30</v>
      </c>
      <c r="F158" s="290">
        <v>14</v>
      </c>
      <c r="G158" s="289">
        <v>100</v>
      </c>
      <c r="H158" s="289">
        <v>0</v>
      </c>
      <c r="I158" s="289">
        <v>60</v>
      </c>
      <c r="J158" s="289">
        <v>0</v>
      </c>
      <c r="K158" s="289">
        <v>0</v>
      </c>
      <c r="L158" s="291">
        <v>10</v>
      </c>
      <c r="M158" s="291">
        <v>10</v>
      </c>
      <c r="N158" s="291">
        <v>10</v>
      </c>
      <c r="O158" s="290">
        <v>0.5</v>
      </c>
      <c r="P158" s="290">
        <v>0.21</v>
      </c>
      <c r="Q158" s="290">
        <v>0.76</v>
      </c>
      <c r="R158" s="290">
        <v>7.0000000000000007E-2</v>
      </c>
      <c r="S158" s="315"/>
      <c r="T158" s="299"/>
      <c r="U158" s="300">
        <v>5</v>
      </c>
    </row>
    <row r="159" spans="1:21" ht="15">
      <c r="A159" s="271"/>
      <c r="B159" s="289" t="s">
        <v>1677</v>
      </c>
      <c r="C159" s="289">
        <v>300</v>
      </c>
      <c r="D159" s="290">
        <v>60</v>
      </c>
      <c r="E159" s="291">
        <v>30</v>
      </c>
      <c r="F159" s="290">
        <v>42</v>
      </c>
      <c r="G159" s="289">
        <v>130</v>
      </c>
      <c r="H159" s="289">
        <v>0</v>
      </c>
      <c r="I159" s="289">
        <v>60</v>
      </c>
      <c r="J159" s="289">
        <v>0</v>
      </c>
      <c r="K159" s="289">
        <v>0</v>
      </c>
      <c r="L159" s="291">
        <v>10</v>
      </c>
      <c r="M159" s="291">
        <v>13</v>
      </c>
      <c r="N159" s="291">
        <v>13</v>
      </c>
      <c r="O159" s="290">
        <v>0.37</v>
      </c>
      <c r="P159" s="290">
        <v>0.08</v>
      </c>
      <c r="Q159" s="290">
        <v>0.66</v>
      </c>
      <c r="R159" s="290">
        <v>7.0000000000000007E-2</v>
      </c>
      <c r="S159" s="315">
        <v>0.46</v>
      </c>
      <c r="T159" s="289"/>
      <c r="U159" s="300">
        <v>5</v>
      </c>
    </row>
    <row r="160" spans="1:21" ht="15">
      <c r="A160" s="271"/>
      <c r="B160" s="289" t="s">
        <v>1561</v>
      </c>
      <c r="C160" s="289">
        <v>350</v>
      </c>
      <c r="D160" s="290">
        <v>70</v>
      </c>
      <c r="E160" s="291">
        <v>30</v>
      </c>
      <c r="F160" s="290">
        <v>49</v>
      </c>
      <c r="G160" s="289">
        <v>180</v>
      </c>
      <c r="H160" s="289">
        <v>0</v>
      </c>
      <c r="I160" s="289">
        <v>60</v>
      </c>
      <c r="J160" s="289">
        <v>0</v>
      </c>
      <c r="K160" s="289">
        <v>0</v>
      </c>
      <c r="L160" s="291">
        <v>10</v>
      </c>
      <c r="M160" s="291">
        <v>18</v>
      </c>
      <c r="N160" s="291">
        <v>18</v>
      </c>
      <c r="O160" s="290">
        <v>0.46</v>
      </c>
      <c r="P160" s="290">
        <v>0.16</v>
      </c>
      <c r="Q160" s="290">
        <v>0.77</v>
      </c>
      <c r="R160" s="290">
        <v>0.05</v>
      </c>
      <c r="S160" s="315"/>
      <c r="T160" s="289"/>
      <c r="U160" s="300">
        <v>5</v>
      </c>
    </row>
    <row r="161" spans="1:21" ht="15">
      <c r="A161" s="271"/>
      <c r="B161" s="289" t="s">
        <v>1678</v>
      </c>
      <c r="C161" s="294">
        <v>150</v>
      </c>
      <c r="D161" s="290">
        <v>30</v>
      </c>
      <c r="E161" s="291">
        <v>30</v>
      </c>
      <c r="F161" s="290">
        <v>21</v>
      </c>
      <c r="G161" s="294">
        <v>95</v>
      </c>
      <c r="H161" s="289">
        <v>0</v>
      </c>
      <c r="I161" s="294">
        <v>60</v>
      </c>
      <c r="J161" s="294">
        <v>0</v>
      </c>
      <c r="K161" s="294">
        <v>0</v>
      </c>
      <c r="L161" s="291">
        <v>10</v>
      </c>
      <c r="M161" s="291">
        <v>5</v>
      </c>
      <c r="N161" s="291">
        <v>5</v>
      </c>
      <c r="O161" s="290">
        <v>0.35</v>
      </c>
      <c r="P161" s="290">
        <v>0.09</v>
      </c>
      <c r="Q161" s="290">
        <v>0.37</v>
      </c>
      <c r="R161" s="290">
        <v>0.04</v>
      </c>
      <c r="S161" s="299"/>
      <c r="T161" s="299"/>
      <c r="U161" s="299">
        <v>5</v>
      </c>
    </row>
    <row r="162" spans="1:21" ht="15">
      <c r="A162" s="271"/>
      <c r="B162" s="289" t="s">
        <v>1679</v>
      </c>
      <c r="C162" s="294">
        <v>25</v>
      </c>
      <c r="D162" s="290">
        <v>30</v>
      </c>
      <c r="E162" s="291">
        <v>30</v>
      </c>
      <c r="F162" s="290">
        <v>21</v>
      </c>
      <c r="G162" s="294">
        <v>95</v>
      </c>
      <c r="H162" s="289">
        <v>0</v>
      </c>
      <c r="I162" s="294">
        <v>60</v>
      </c>
      <c r="J162" s="294">
        <v>0</v>
      </c>
      <c r="K162" s="294">
        <v>0</v>
      </c>
      <c r="L162" s="291">
        <v>10</v>
      </c>
      <c r="M162" s="291">
        <v>5</v>
      </c>
      <c r="N162" s="291">
        <v>5</v>
      </c>
      <c r="O162" s="290">
        <v>1.3540000000000001</v>
      </c>
      <c r="P162" s="290">
        <v>0.51</v>
      </c>
      <c r="Q162" s="290">
        <v>3.266</v>
      </c>
      <c r="R162" s="290">
        <v>0.33</v>
      </c>
      <c r="S162" s="299"/>
      <c r="T162" s="299"/>
      <c r="U162" s="300">
        <v>7</v>
      </c>
    </row>
    <row r="163" spans="1:21" ht="15">
      <c r="A163" s="271"/>
      <c r="B163" s="289" t="s">
        <v>1680</v>
      </c>
      <c r="C163" s="294">
        <v>25</v>
      </c>
      <c r="D163" s="290">
        <v>30</v>
      </c>
      <c r="E163" s="291">
        <v>30</v>
      </c>
      <c r="F163" s="290">
        <v>21</v>
      </c>
      <c r="G163" s="294">
        <v>95</v>
      </c>
      <c r="H163" s="289">
        <v>0</v>
      </c>
      <c r="I163" s="294">
        <v>60</v>
      </c>
      <c r="J163" s="294">
        <v>0</v>
      </c>
      <c r="K163" s="294">
        <v>0</v>
      </c>
      <c r="L163" s="291">
        <v>10</v>
      </c>
      <c r="M163" s="291">
        <v>5</v>
      </c>
      <c r="N163" s="291">
        <v>5</v>
      </c>
      <c r="O163" s="290">
        <v>0.34</v>
      </c>
      <c r="P163" s="290">
        <v>0.12</v>
      </c>
      <c r="Q163" s="290">
        <v>0.64</v>
      </c>
      <c r="R163" s="290">
        <v>7.0000000000000007E-2</v>
      </c>
      <c r="S163" s="299"/>
      <c r="T163" s="299"/>
      <c r="U163" s="300">
        <v>7</v>
      </c>
    </row>
    <row r="164" spans="1:21" ht="15">
      <c r="A164" s="271"/>
      <c r="B164" s="289" t="s">
        <v>1476</v>
      </c>
      <c r="C164" s="289">
        <v>120</v>
      </c>
      <c r="D164" s="290">
        <v>24</v>
      </c>
      <c r="E164" s="291">
        <v>30</v>
      </c>
      <c r="F164" s="290">
        <v>16.8</v>
      </c>
      <c r="G164" s="289">
        <v>105</v>
      </c>
      <c r="H164" s="289">
        <v>0</v>
      </c>
      <c r="I164" s="289">
        <v>30</v>
      </c>
      <c r="J164" s="289">
        <v>0</v>
      </c>
      <c r="K164" s="289">
        <v>0</v>
      </c>
      <c r="L164" s="291">
        <v>10</v>
      </c>
      <c r="M164" s="291">
        <v>11</v>
      </c>
      <c r="N164" s="291">
        <v>11</v>
      </c>
      <c r="O164" s="290">
        <v>0.27</v>
      </c>
      <c r="P164" s="290">
        <v>0.15</v>
      </c>
      <c r="Q164" s="290">
        <v>0.35</v>
      </c>
      <c r="R164" s="290">
        <v>0.09</v>
      </c>
      <c r="S164" s="299"/>
      <c r="T164" s="299">
        <v>1</v>
      </c>
      <c r="U164" s="300">
        <v>5</v>
      </c>
    </row>
    <row r="165" spans="1:21" ht="15">
      <c r="A165" s="271"/>
      <c r="B165" s="289" t="s">
        <v>1562</v>
      </c>
      <c r="C165" s="289">
        <v>120</v>
      </c>
      <c r="D165" s="290">
        <v>24</v>
      </c>
      <c r="E165" s="291">
        <v>30</v>
      </c>
      <c r="F165" s="290">
        <v>16.8</v>
      </c>
      <c r="G165" s="289">
        <v>105</v>
      </c>
      <c r="H165" s="289">
        <v>0</v>
      </c>
      <c r="I165" s="289">
        <v>30</v>
      </c>
      <c r="J165" s="289">
        <v>0</v>
      </c>
      <c r="K165" s="289">
        <v>0</v>
      </c>
      <c r="L165" s="291">
        <v>10</v>
      </c>
      <c r="M165" s="291">
        <v>10</v>
      </c>
      <c r="N165" s="291">
        <v>10</v>
      </c>
      <c r="O165" s="290">
        <v>0.70750000000000002</v>
      </c>
      <c r="P165" s="290">
        <v>0.28541666666666665</v>
      </c>
      <c r="Q165" s="290">
        <v>1.1104166666666666</v>
      </c>
      <c r="R165" s="290">
        <v>0.26708333333333334</v>
      </c>
      <c r="S165" s="315"/>
      <c r="T165" s="299"/>
      <c r="U165" s="300">
        <v>5</v>
      </c>
    </row>
    <row r="166" spans="1:21" ht="15">
      <c r="A166" s="271"/>
      <c r="B166" s="289" t="s">
        <v>1450</v>
      </c>
      <c r="C166" s="289">
        <v>200</v>
      </c>
      <c r="D166" s="290">
        <v>20</v>
      </c>
      <c r="E166" s="291">
        <v>10</v>
      </c>
      <c r="F166" s="290">
        <v>18</v>
      </c>
      <c r="G166" s="289">
        <v>145</v>
      </c>
      <c r="H166" s="289">
        <v>0</v>
      </c>
      <c r="I166" s="294">
        <v>60</v>
      </c>
      <c r="J166" s="294">
        <v>0</v>
      </c>
      <c r="K166" s="294">
        <v>0</v>
      </c>
      <c r="L166" s="291">
        <v>10</v>
      </c>
      <c r="M166" s="291">
        <v>7</v>
      </c>
      <c r="N166" s="291">
        <v>7</v>
      </c>
      <c r="O166" s="290">
        <v>0.43</v>
      </c>
      <c r="P166" s="290">
        <v>0.09</v>
      </c>
      <c r="Q166" s="290">
        <v>0.41</v>
      </c>
      <c r="R166" s="290">
        <v>0.09</v>
      </c>
      <c r="S166" s="299"/>
      <c r="T166" s="299"/>
      <c r="U166" s="300">
        <v>10</v>
      </c>
    </row>
    <row r="167" spans="1:21" ht="15">
      <c r="A167" s="271"/>
      <c r="B167" s="289" t="s">
        <v>1681</v>
      </c>
      <c r="C167" s="289">
        <v>300</v>
      </c>
      <c r="D167" s="290">
        <v>30</v>
      </c>
      <c r="E167" s="291">
        <v>10</v>
      </c>
      <c r="F167" s="290">
        <v>27</v>
      </c>
      <c r="G167" s="289">
        <v>210</v>
      </c>
      <c r="H167" s="289">
        <v>0</v>
      </c>
      <c r="I167" s="289">
        <v>60</v>
      </c>
      <c r="J167" s="289">
        <v>0</v>
      </c>
      <c r="K167" s="289">
        <v>0</v>
      </c>
      <c r="L167" s="291">
        <v>10</v>
      </c>
      <c r="M167" s="291">
        <v>21</v>
      </c>
      <c r="N167" s="291">
        <v>21</v>
      </c>
      <c r="O167" s="290">
        <v>0.5</v>
      </c>
      <c r="P167" s="290">
        <v>0.13700000000000001</v>
      </c>
      <c r="Q167" s="290">
        <v>0.52</v>
      </c>
      <c r="R167" s="290">
        <v>7.0000000000000007E-2</v>
      </c>
      <c r="S167" s="315"/>
      <c r="T167" s="289"/>
      <c r="U167" s="300">
        <v>10</v>
      </c>
    </row>
    <row r="168" spans="1:21" ht="15">
      <c r="A168" s="271"/>
      <c r="B168" s="289" t="s">
        <v>1682</v>
      </c>
      <c r="C168" s="289">
        <v>200</v>
      </c>
      <c r="D168" s="290">
        <v>20</v>
      </c>
      <c r="E168" s="291">
        <v>10</v>
      </c>
      <c r="F168" s="290">
        <v>18</v>
      </c>
      <c r="G168" s="289">
        <v>180</v>
      </c>
      <c r="H168" s="289">
        <v>0</v>
      </c>
      <c r="I168" s="289">
        <v>60</v>
      </c>
      <c r="J168" s="289">
        <v>0</v>
      </c>
      <c r="K168" s="289">
        <v>0</v>
      </c>
      <c r="L168" s="291">
        <v>10</v>
      </c>
      <c r="M168" s="291">
        <v>18</v>
      </c>
      <c r="N168" s="291">
        <v>9</v>
      </c>
      <c r="O168" s="290">
        <v>0.5</v>
      </c>
      <c r="P168" s="290">
        <v>0.13700000000000001</v>
      </c>
      <c r="Q168" s="290">
        <v>0.52</v>
      </c>
      <c r="R168" s="290">
        <v>7.0000000000000007E-2</v>
      </c>
      <c r="S168" s="315"/>
      <c r="T168" s="289"/>
      <c r="U168" s="300">
        <v>10</v>
      </c>
    </row>
    <row r="169" spans="1:21" ht="15">
      <c r="A169" s="271"/>
      <c r="B169" s="289" t="s">
        <v>1683</v>
      </c>
      <c r="C169" s="289">
        <v>500</v>
      </c>
      <c r="D169" s="290">
        <v>20</v>
      </c>
      <c r="E169" s="291">
        <v>10</v>
      </c>
      <c r="F169" s="290">
        <v>18</v>
      </c>
      <c r="G169" s="289">
        <v>310</v>
      </c>
      <c r="H169" s="289">
        <v>0</v>
      </c>
      <c r="I169" s="289">
        <v>60</v>
      </c>
      <c r="J169" s="289">
        <v>0</v>
      </c>
      <c r="K169" s="289">
        <v>0</v>
      </c>
      <c r="L169" s="291">
        <v>10</v>
      </c>
      <c r="M169" s="291">
        <v>31</v>
      </c>
      <c r="N169" s="291">
        <v>31</v>
      </c>
      <c r="O169" s="290">
        <v>0.5</v>
      </c>
      <c r="P169" s="290">
        <v>0.13700000000000001</v>
      </c>
      <c r="Q169" s="290">
        <v>0.52</v>
      </c>
      <c r="R169" s="290">
        <v>7.0000000000000007E-2</v>
      </c>
      <c r="S169" s="315"/>
      <c r="T169" s="289"/>
      <c r="U169" s="300">
        <v>10</v>
      </c>
    </row>
    <row r="170" spans="1:21" ht="15">
      <c r="A170" s="271"/>
      <c r="B170" s="289" t="s">
        <v>2077</v>
      </c>
      <c r="C170" s="289">
        <v>280</v>
      </c>
      <c r="D170" s="290">
        <v>28</v>
      </c>
      <c r="E170" s="291">
        <v>10</v>
      </c>
      <c r="F170" s="290">
        <v>25.2</v>
      </c>
      <c r="G170" s="289">
        <v>240</v>
      </c>
      <c r="H170" s="289">
        <v>0</v>
      </c>
      <c r="I170" s="289">
        <v>60</v>
      </c>
      <c r="J170" s="289">
        <v>0</v>
      </c>
      <c r="K170" s="289">
        <v>0</v>
      </c>
      <c r="L170" s="291">
        <v>10</v>
      </c>
      <c r="M170" s="291">
        <v>24</v>
      </c>
      <c r="N170" s="291">
        <v>12</v>
      </c>
      <c r="O170" s="290">
        <v>0.5</v>
      </c>
      <c r="P170" s="290">
        <v>0.13700000000000001</v>
      </c>
      <c r="Q170" s="290">
        <v>0.52</v>
      </c>
      <c r="R170" s="290">
        <v>7.0000000000000007E-2</v>
      </c>
      <c r="S170" s="315"/>
      <c r="T170" s="289"/>
      <c r="U170" s="300">
        <v>10</v>
      </c>
    </row>
    <row r="171" spans="1:21" ht="15">
      <c r="A171" s="271"/>
      <c r="B171" s="289" t="s">
        <v>1563</v>
      </c>
      <c r="C171" s="289">
        <v>300</v>
      </c>
      <c r="D171" s="290">
        <v>60</v>
      </c>
      <c r="E171" s="291">
        <v>30</v>
      </c>
      <c r="F171" s="290">
        <v>42</v>
      </c>
      <c r="G171" s="289">
        <v>160</v>
      </c>
      <c r="H171" s="289">
        <v>0</v>
      </c>
      <c r="I171" s="289">
        <v>60</v>
      </c>
      <c r="J171" s="289">
        <v>0</v>
      </c>
      <c r="K171" s="289">
        <v>0</v>
      </c>
      <c r="L171" s="291">
        <v>10</v>
      </c>
      <c r="M171" s="291">
        <v>16</v>
      </c>
      <c r="N171" s="291">
        <v>16</v>
      </c>
      <c r="O171" s="290">
        <v>0.4</v>
      </c>
      <c r="P171" s="290">
        <v>0.11</v>
      </c>
      <c r="Q171" s="290">
        <v>0.5</v>
      </c>
      <c r="R171" s="290">
        <v>0.08</v>
      </c>
      <c r="S171" s="315"/>
      <c r="T171" s="289"/>
      <c r="U171" s="300">
        <v>5</v>
      </c>
    </row>
    <row r="172" spans="1:21" ht="15">
      <c r="A172" s="271"/>
      <c r="B172" s="289" t="s">
        <v>1684</v>
      </c>
      <c r="C172" s="289">
        <v>15</v>
      </c>
      <c r="D172" s="290">
        <v>10</v>
      </c>
      <c r="E172" s="291">
        <v>30</v>
      </c>
      <c r="F172" s="290">
        <v>7</v>
      </c>
      <c r="G172" s="289">
        <v>105</v>
      </c>
      <c r="H172" s="289">
        <v>0</v>
      </c>
      <c r="I172" s="289">
        <v>60</v>
      </c>
      <c r="J172" s="289">
        <v>0</v>
      </c>
      <c r="K172" s="289">
        <v>0</v>
      </c>
      <c r="L172" s="291">
        <v>10</v>
      </c>
      <c r="M172" s="291">
        <v>5</v>
      </c>
      <c r="N172" s="291">
        <v>5</v>
      </c>
      <c r="O172" s="290">
        <v>4.3</v>
      </c>
      <c r="P172" s="290">
        <v>2</v>
      </c>
      <c r="Q172" s="290">
        <v>3.02</v>
      </c>
      <c r="R172" s="290">
        <v>0.76</v>
      </c>
      <c r="S172" s="289"/>
      <c r="T172" s="299"/>
      <c r="U172" s="300">
        <v>1.5</v>
      </c>
    </row>
    <row r="173" spans="1:21" ht="15">
      <c r="A173" s="271"/>
      <c r="B173" s="289" t="s">
        <v>1564</v>
      </c>
      <c r="C173" s="289">
        <v>15</v>
      </c>
      <c r="D173" s="290">
        <v>10</v>
      </c>
      <c r="E173" s="291">
        <v>30</v>
      </c>
      <c r="F173" s="290">
        <v>7</v>
      </c>
      <c r="G173" s="289">
        <v>105</v>
      </c>
      <c r="H173" s="289">
        <v>0</v>
      </c>
      <c r="I173" s="289">
        <v>60</v>
      </c>
      <c r="J173" s="289">
        <v>0</v>
      </c>
      <c r="K173" s="289">
        <v>0</v>
      </c>
      <c r="L173" s="291">
        <v>10</v>
      </c>
      <c r="M173" s="291">
        <v>5</v>
      </c>
      <c r="N173" s="291">
        <v>5</v>
      </c>
      <c r="O173" s="290">
        <v>3.6</v>
      </c>
      <c r="P173" s="290">
        <v>1.71</v>
      </c>
      <c r="Q173" s="290">
        <v>0.92</v>
      </c>
      <c r="R173" s="290">
        <v>0.48</v>
      </c>
      <c r="S173" s="299"/>
      <c r="T173" s="299">
        <v>1</v>
      </c>
      <c r="U173" s="300">
        <v>1.5</v>
      </c>
    </row>
    <row r="174" spans="1:21" ht="30">
      <c r="A174" s="271"/>
      <c r="B174" s="289" t="s">
        <v>1685</v>
      </c>
      <c r="C174" s="294">
        <v>50</v>
      </c>
      <c r="D174" s="290">
        <v>12.5</v>
      </c>
      <c r="E174" s="291">
        <v>30</v>
      </c>
      <c r="F174" s="290">
        <v>8.75</v>
      </c>
      <c r="G174" s="294">
        <v>50</v>
      </c>
      <c r="H174" s="289">
        <v>0</v>
      </c>
      <c r="I174" s="294">
        <v>60</v>
      </c>
      <c r="J174" s="294">
        <v>0</v>
      </c>
      <c r="K174" s="294">
        <v>0</v>
      </c>
      <c r="L174" s="291">
        <v>10</v>
      </c>
      <c r="M174" s="291">
        <v>3</v>
      </c>
      <c r="N174" s="291">
        <v>3</v>
      </c>
      <c r="O174" s="290">
        <v>0.24</v>
      </c>
      <c r="P174" s="290">
        <v>0.08</v>
      </c>
      <c r="Q174" s="290">
        <v>0.66</v>
      </c>
      <c r="R174" s="290">
        <v>0.04</v>
      </c>
      <c r="S174" s="299"/>
      <c r="T174" s="299"/>
      <c r="U174" s="299">
        <v>4</v>
      </c>
    </row>
    <row r="175" spans="1:21" ht="30">
      <c r="A175" s="271"/>
      <c r="B175" s="289" t="s">
        <v>1686</v>
      </c>
      <c r="C175" s="294">
        <v>50</v>
      </c>
      <c r="D175" s="290">
        <v>12.5</v>
      </c>
      <c r="E175" s="291">
        <v>30</v>
      </c>
      <c r="F175" s="290">
        <v>8.75</v>
      </c>
      <c r="G175" s="294">
        <v>50</v>
      </c>
      <c r="H175" s="289">
        <v>0</v>
      </c>
      <c r="I175" s="294">
        <v>60</v>
      </c>
      <c r="J175" s="294">
        <v>0</v>
      </c>
      <c r="K175" s="294">
        <v>0</v>
      </c>
      <c r="L175" s="291">
        <v>10</v>
      </c>
      <c r="M175" s="291">
        <v>3</v>
      </c>
      <c r="N175" s="291">
        <v>3</v>
      </c>
      <c r="O175" s="290">
        <v>0.3</v>
      </c>
      <c r="P175" s="290">
        <v>0.09</v>
      </c>
      <c r="Q175" s="290">
        <v>0.31</v>
      </c>
      <c r="R175" s="290">
        <v>0.04</v>
      </c>
      <c r="S175" s="299"/>
      <c r="T175" s="299"/>
      <c r="U175" s="299">
        <v>4</v>
      </c>
    </row>
    <row r="176" spans="1:21" ht="15">
      <c r="A176" s="271"/>
      <c r="B176" s="289" t="s">
        <v>1457</v>
      </c>
      <c r="C176" s="294">
        <v>550</v>
      </c>
      <c r="D176" s="290">
        <v>55</v>
      </c>
      <c r="E176" s="291">
        <v>30</v>
      </c>
      <c r="F176" s="290">
        <v>38.5</v>
      </c>
      <c r="G176" s="294">
        <v>245</v>
      </c>
      <c r="H176" s="289">
        <v>0</v>
      </c>
      <c r="I176" s="294">
        <v>60</v>
      </c>
      <c r="J176" s="294">
        <v>0</v>
      </c>
      <c r="K176" s="294">
        <v>0</v>
      </c>
      <c r="L176" s="291">
        <v>10</v>
      </c>
      <c r="M176" s="291">
        <v>25</v>
      </c>
      <c r="N176" s="291">
        <v>25</v>
      </c>
      <c r="O176" s="290">
        <v>0.37</v>
      </c>
      <c r="P176" s="290">
        <v>0.11</v>
      </c>
      <c r="Q176" s="290">
        <v>0.5</v>
      </c>
      <c r="R176" s="290">
        <v>0.06</v>
      </c>
      <c r="S176" s="299"/>
      <c r="T176" s="299"/>
      <c r="U176" s="300">
        <v>10</v>
      </c>
    </row>
    <row r="177" spans="1:21" ht="15">
      <c r="A177" s="271"/>
      <c r="B177" s="289" t="s">
        <v>1565</v>
      </c>
      <c r="C177" s="289">
        <v>9</v>
      </c>
      <c r="D177" s="290">
        <v>10</v>
      </c>
      <c r="E177" s="291">
        <v>30</v>
      </c>
      <c r="F177" s="290">
        <v>7</v>
      </c>
      <c r="G177" s="289">
        <v>65</v>
      </c>
      <c r="H177" s="289">
        <v>0</v>
      </c>
      <c r="I177" s="289">
        <v>60</v>
      </c>
      <c r="J177" s="289">
        <v>0</v>
      </c>
      <c r="K177" s="289">
        <v>0</v>
      </c>
      <c r="L177" s="291">
        <v>10</v>
      </c>
      <c r="M177" s="291">
        <v>7</v>
      </c>
      <c r="N177" s="291">
        <v>7</v>
      </c>
      <c r="O177" s="290">
        <v>5</v>
      </c>
      <c r="P177" s="290">
        <v>2.0644444444444443</v>
      </c>
      <c r="Q177" s="290">
        <v>2.5766666666666667</v>
      </c>
      <c r="R177" s="290">
        <v>0.67222222222222228</v>
      </c>
      <c r="S177" s="315"/>
      <c r="T177" s="299"/>
      <c r="U177" s="300">
        <v>1.5</v>
      </c>
    </row>
    <row r="178" spans="1:21" ht="15">
      <c r="A178" s="271"/>
      <c r="B178" s="289" t="s">
        <v>1566</v>
      </c>
      <c r="C178" s="289">
        <v>9</v>
      </c>
      <c r="D178" s="290">
        <v>10</v>
      </c>
      <c r="E178" s="291">
        <v>30</v>
      </c>
      <c r="F178" s="290">
        <v>7</v>
      </c>
      <c r="G178" s="289">
        <v>65</v>
      </c>
      <c r="H178" s="289">
        <v>0</v>
      </c>
      <c r="I178" s="289">
        <v>60</v>
      </c>
      <c r="J178" s="289">
        <v>0</v>
      </c>
      <c r="K178" s="289">
        <v>0</v>
      </c>
      <c r="L178" s="291">
        <v>10</v>
      </c>
      <c r="M178" s="291">
        <v>7</v>
      </c>
      <c r="N178" s="291">
        <v>7</v>
      </c>
      <c r="O178" s="290">
        <v>3.05</v>
      </c>
      <c r="P178" s="290">
        <v>1.53</v>
      </c>
      <c r="Q178" s="290">
        <v>0.67</v>
      </c>
      <c r="R178" s="290">
        <v>0.34</v>
      </c>
      <c r="S178" s="299"/>
      <c r="T178" s="299">
        <v>1.4</v>
      </c>
      <c r="U178" s="300">
        <v>1.5</v>
      </c>
    </row>
    <row r="179" spans="1:21" ht="15">
      <c r="A179" s="271"/>
      <c r="B179" s="289" t="s">
        <v>1567</v>
      </c>
      <c r="C179" s="289">
        <v>15</v>
      </c>
      <c r="D179" s="290">
        <v>10</v>
      </c>
      <c r="E179" s="291">
        <v>30</v>
      </c>
      <c r="F179" s="290">
        <v>7</v>
      </c>
      <c r="G179" s="289">
        <v>135</v>
      </c>
      <c r="H179" s="289">
        <v>0</v>
      </c>
      <c r="I179" s="289">
        <v>60</v>
      </c>
      <c r="J179" s="289">
        <v>0</v>
      </c>
      <c r="K179" s="289">
        <v>0</v>
      </c>
      <c r="L179" s="291">
        <v>10</v>
      </c>
      <c r="M179" s="291">
        <v>14</v>
      </c>
      <c r="N179" s="291">
        <v>14</v>
      </c>
      <c r="O179" s="290">
        <v>7.8</v>
      </c>
      <c r="P179" s="290">
        <v>3.3699999999999997</v>
      </c>
      <c r="Q179" s="290">
        <v>10.93</v>
      </c>
      <c r="R179" s="290">
        <v>0.9</v>
      </c>
      <c r="S179" s="315"/>
      <c r="T179" s="299"/>
      <c r="U179" s="300">
        <v>1.5</v>
      </c>
    </row>
    <row r="180" spans="1:21" ht="15">
      <c r="A180" s="271"/>
      <c r="B180" s="289" t="s">
        <v>1568</v>
      </c>
      <c r="C180" s="289">
        <v>15</v>
      </c>
      <c r="D180" s="290">
        <v>10</v>
      </c>
      <c r="E180" s="291">
        <v>30</v>
      </c>
      <c r="F180" s="290">
        <v>7</v>
      </c>
      <c r="G180" s="289">
        <v>135</v>
      </c>
      <c r="H180" s="289">
        <v>0</v>
      </c>
      <c r="I180" s="289">
        <v>60</v>
      </c>
      <c r="J180" s="289">
        <v>0</v>
      </c>
      <c r="K180" s="289">
        <v>0</v>
      </c>
      <c r="L180" s="291">
        <v>10</v>
      </c>
      <c r="M180" s="291">
        <v>14</v>
      </c>
      <c r="N180" s="291">
        <v>14</v>
      </c>
      <c r="O180" s="290">
        <v>5</v>
      </c>
      <c r="P180" s="290">
        <v>1.77</v>
      </c>
      <c r="Q180" s="290">
        <v>0.93</v>
      </c>
      <c r="R180" s="290">
        <v>0.3</v>
      </c>
      <c r="S180" s="299"/>
      <c r="T180" s="299">
        <v>4</v>
      </c>
      <c r="U180" s="300">
        <v>1.5</v>
      </c>
    </row>
    <row r="181" spans="1:21" ht="15">
      <c r="A181" s="271"/>
      <c r="B181" s="289" t="s">
        <v>1687</v>
      </c>
      <c r="C181" s="294">
        <v>12</v>
      </c>
      <c r="D181" s="290">
        <v>8</v>
      </c>
      <c r="E181" s="291">
        <v>30</v>
      </c>
      <c r="F181" s="290">
        <v>5.6</v>
      </c>
      <c r="G181" s="294">
        <v>80</v>
      </c>
      <c r="H181" s="289">
        <v>0</v>
      </c>
      <c r="I181" s="294">
        <v>60</v>
      </c>
      <c r="J181" s="294">
        <v>0</v>
      </c>
      <c r="K181" s="294">
        <v>0</v>
      </c>
      <c r="L181" s="291">
        <v>10</v>
      </c>
      <c r="M181" s="291">
        <v>8</v>
      </c>
      <c r="N181" s="291">
        <v>8</v>
      </c>
      <c r="O181" s="290">
        <v>4.9249999999999998</v>
      </c>
      <c r="P181" s="290">
        <v>2.7099999999999995</v>
      </c>
      <c r="Q181" s="290">
        <v>2.36</v>
      </c>
      <c r="R181" s="290">
        <v>0.68</v>
      </c>
      <c r="S181" s="299"/>
      <c r="T181" s="299"/>
      <c r="U181" s="299">
        <v>1.5</v>
      </c>
    </row>
    <row r="182" spans="1:21" ht="15">
      <c r="A182" s="271"/>
      <c r="B182" s="289" t="s">
        <v>1688</v>
      </c>
      <c r="C182" s="294">
        <v>12</v>
      </c>
      <c r="D182" s="290">
        <v>8</v>
      </c>
      <c r="E182" s="291">
        <v>30</v>
      </c>
      <c r="F182" s="290">
        <v>5.6</v>
      </c>
      <c r="G182" s="294">
        <v>80</v>
      </c>
      <c r="H182" s="289">
        <v>0</v>
      </c>
      <c r="I182" s="294">
        <v>60</v>
      </c>
      <c r="J182" s="294">
        <v>0</v>
      </c>
      <c r="K182" s="294">
        <v>0</v>
      </c>
      <c r="L182" s="291">
        <v>10</v>
      </c>
      <c r="M182" s="291">
        <v>8</v>
      </c>
      <c r="N182" s="291">
        <v>8</v>
      </c>
      <c r="O182" s="290">
        <v>3.23</v>
      </c>
      <c r="P182" s="290">
        <v>1.81</v>
      </c>
      <c r="Q182" s="290">
        <v>0.65</v>
      </c>
      <c r="R182" s="290">
        <v>0.35</v>
      </c>
      <c r="S182" s="299"/>
      <c r="T182" s="299"/>
      <c r="U182" s="299">
        <v>1.5</v>
      </c>
    </row>
    <row r="183" spans="1:21" ht="15">
      <c r="A183" s="271"/>
      <c r="B183" s="289" t="s">
        <v>1569</v>
      </c>
      <c r="C183" s="289">
        <v>500</v>
      </c>
      <c r="D183" s="290">
        <v>100</v>
      </c>
      <c r="E183" s="291">
        <v>30</v>
      </c>
      <c r="F183" s="290">
        <v>70</v>
      </c>
      <c r="G183" s="289">
        <v>150</v>
      </c>
      <c r="H183" s="289">
        <v>0</v>
      </c>
      <c r="I183" s="289">
        <v>60</v>
      </c>
      <c r="J183" s="289">
        <v>0</v>
      </c>
      <c r="K183" s="289">
        <v>0</v>
      </c>
      <c r="L183" s="291">
        <v>10</v>
      </c>
      <c r="M183" s="291">
        <v>15</v>
      </c>
      <c r="N183" s="291">
        <v>15</v>
      </c>
      <c r="O183" s="290">
        <v>0.26</v>
      </c>
      <c r="P183" s="290">
        <v>0.1</v>
      </c>
      <c r="Q183" s="290">
        <v>0.54</v>
      </c>
      <c r="R183" s="290">
        <v>0.08</v>
      </c>
      <c r="S183" s="315"/>
      <c r="T183" s="299"/>
      <c r="U183" s="300">
        <v>5</v>
      </c>
    </row>
    <row r="184" spans="1:21" ht="15">
      <c r="A184" s="271"/>
      <c r="B184" s="289" t="s">
        <v>1689</v>
      </c>
      <c r="C184" s="289">
        <v>50</v>
      </c>
      <c r="D184" s="290">
        <v>5</v>
      </c>
      <c r="E184" s="291">
        <v>30</v>
      </c>
      <c r="F184" s="290">
        <v>3.5</v>
      </c>
      <c r="G184" s="289">
        <v>75</v>
      </c>
      <c r="H184" s="289">
        <v>0</v>
      </c>
      <c r="I184" s="289">
        <v>60</v>
      </c>
      <c r="J184" s="289">
        <v>0</v>
      </c>
      <c r="K184" s="289">
        <v>0</v>
      </c>
      <c r="L184" s="291">
        <v>10</v>
      </c>
      <c r="M184" s="291">
        <v>4</v>
      </c>
      <c r="N184" s="291">
        <v>4</v>
      </c>
      <c r="O184" s="290">
        <v>0.56000000000000005</v>
      </c>
      <c r="P184" s="290">
        <v>0.12</v>
      </c>
      <c r="Q184" s="290">
        <v>0.82</v>
      </c>
      <c r="R184" s="290">
        <v>0.14000000000000001</v>
      </c>
      <c r="S184" s="315"/>
      <c r="T184" s="299">
        <v>0.1</v>
      </c>
      <c r="U184" s="300">
        <v>10</v>
      </c>
    </row>
    <row r="185" spans="1:21" ht="15">
      <c r="A185" s="271"/>
      <c r="B185" s="289" t="s">
        <v>1690</v>
      </c>
      <c r="C185" s="289">
        <v>20</v>
      </c>
      <c r="D185" s="290">
        <v>4</v>
      </c>
      <c r="E185" s="291">
        <v>30</v>
      </c>
      <c r="F185" s="290">
        <v>2.8</v>
      </c>
      <c r="G185" s="289">
        <v>75</v>
      </c>
      <c r="H185" s="289">
        <v>0</v>
      </c>
      <c r="I185" s="289">
        <v>60</v>
      </c>
      <c r="J185" s="289">
        <v>0</v>
      </c>
      <c r="K185" s="289">
        <v>0</v>
      </c>
      <c r="L185" s="291">
        <v>10</v>
      </c>
      <c r="M185" s="291">
        <v>4</v>
      </c>
      <c r="N185" s="291">
        <v>4</v>
      </c>
      <c r="O185" s="290">
        <v>2.35</v>
      </c>
      <c r="P185" s="290">
        <v>0.5</v>
      </c>
      <c r="Q185" s="290">
        <v>2.5</v>
      </c>
      <c r="R185" s="290">
        <v>0.45</v>
      </c>
      <c r="S185" s="315"/>
      <c r="T185" s="289"/>
      <c r="U185" s="300">
        <v>5</v>
      </c>
    </row>
    <row r="186" spans="1:21" ht="15">
      <c r="A186" s="271"/>
      <c r="B186" s="289" t="s">
        <v>1691</v>
      </c>
      <c r="C186" s="289">
        <v>20</v>
      </c>
      <c r="D186" s="290">
        <v>4</v>
      </c>
      <c r="E186" s="291">
        <v>30</v>
      </c>
      <c r="F186" s="290">
        <v>2.8</v>
      </c>
      <c r="G186" s="289">
        <v>75</v>
      </c>
      <c r="H186" s="289">
        <v>0</v>
      </c>
      <c r="I186" s="289">
        <v>60</v>
      </c>
      <c r="J186" s="289">
        <v>0</v>
      </c>
      <c r="K186" s="289">
        <v>0</v>
      </c>
      <c r="L186" s="291">
        <v>10</v>
      </c>
      <c r="M186" s="291">
        <v>4</v>
      </c>
      <c r="N186" s="291">
        <v>4</v>
      </c>
      <c r="O186" s="290">
        <v>0.95</v>
      </c>
      <c r="P186" s="290">
        <v>0.2</v>
      </c>
      <c r="Q186" s="290">
        <v>0.45</v>
      </c>
      <c r="R186" s="290">
        <v>0.1</v>
      </c>
      <c r="S186" s="299"/>
      <c r="T186" s="299"/>
      <c r="U186" s="300">
        <v>5</v>
      </c>
    </row>
    <row r="187" spans="1:21" ht="30">
      <c r="A187" s="271"/>
      <c r="B187" s="289" t="s">
        <v>1692</v>
      </c>
      <c r="C187" s="289">
        <v>7</v>
      </c>
      <c r="D187" s="290">
        <v>1.4</v>
      </c>
      <c r="E187" s="291">
        <v>30</v>
      </c>
      <c r="F187" s="290">
        <v>0.98</v>
      </c>
      <c r="G187" s="289">
        <v>75</v>
      </c>
      <c r="H187" s="289">
        <v>0</v>
      </c>
      <c r="I187" s="289">
        <v>60</v>
      </c>
      <c r="J187" s="289">
        <v>0</v>
      </c>
      <c r="K187" s="289">
        <v>0</v>
      </c>
      <c r="L187" s="291">
        <v>10</v>
      </c>
      <c r="M187" s="291">
        <v>4</v>
      </c>
      <c r="N187" s="291">
        <v>4</v>
      </c>
      <c r="O187" s="290">
        <v>4.9500000000000011</v>
      </c>
      <c r="P187" s="290">
        <v>1.0571428571428572</v>
      </c>
      <c r="Q187" s="290">
        <v>6.3071428571428569</v>
      </c>
      <c r="R187" s="290">
        <v>1.1000000000000001</v>
      </c>
      <c r="S187" s="299"/>
      <c r="T187" s="299"/>
      <c r="U187" s="300">
        <v>5</v>
      </c>
    </row>
    <row r="188" spans="1:21" ht="30">
      <c r="A188" s="271"/>
      <c r="B188" s="289" t="s">
        <v>1693</v>
      </c>
      <c r="C188" s="289">
        <v>7</v>
      </c>
      <c r="D188" s="290">
        <v>1.4</v>
      </c>
      <c r="E188" s="291">
        <v>30</v>
      </c>
      <c r="F188" s="290">
        <v>0.98</v>
      </c>
      <c r="G188" s="289">
        <v>75</v>
      </c>
      <c r="H188" s="289">
        <v>0</v>
      </c>
      <c r="I188" s="289">
        <v>60</v>
      </c>
      <c r="J188" s="289">
        <v>0</v>
      </c>
      <c r="K188" s="289">
        <v>0</v>
      </c>
      <c r="L188" s="291">
        <v>10</v>
      </c>
      <c r="M188" s="291">
        <v>4</v>
      </c>
      <c r="N188" s="291">
        <v>4</v>
      </c>
      <c r="O188" s="290">
        <v>0.95</v>
      </c>
      <c r="P188" s="290">
        <v>0.2</v>
      </c>
      <c r="Q188" s="290">
        <v>0.45</v>
      </c>
      <c r="R188" s="290">
        <v>0.1</v>
      </c>
      <c r="S188" s="315"/>
      <c r="T188" s="289"/>
      <c r="U188" s="300">
        <v>5</v>
      </c>
    </row>
    <row r="189" spans="1:21" ht="15">
      <c r="A189" s="271"/>
      <c r="B189" s="289" t="s">
        <v>1694</v>
      </c>
      <c r="C189" s="289">
        <v>300</v>
      </c>
      <c r="D189" s="290">
        <v>30</v>
      </c>
      <c r="E189" s="291">
        <v>30</v>
      </c>
      <c r="F189" s="290">
        <v>21</v>
      </c>
      <c r="G189" s="289">
        <v>180</v>
      </c>
      <c r="H189" s="289">
        <v>0</v>
      </c>
      <c r="I189" s="289">
        <v>60</v>
      </c>
      <c r="J189" s="289">
        <v>0</v>
      </c>
      <c r="K189" s="289">
        <v>0</v>
      </c>
      <c r="L189" s="291">
        <v>10</v>
      </c>
      <c r="M189" s="291">
        <v>18</v>
      </c>
      <c r="N189" s="291">
        <v>18</v>
      </c>
      <c r="O189" s="290">
        <v>0.31</v>
      </c>
      <c r="P189" s="290">
        <v>0.1</v>
      </c>
      <c r="Q189" s="290">
        <v>0.45</v>
      </c>
      <c r="R189" s="290">
        <v>0.11</v>
      </c>
      <c r="S189" s="315"/>
      <c r="T189" s="299">
        <v>0.2</v>
      </c>
      <c r="U189" s="300">
        <v>10</v>
      </c>
    </row>
    <row r="190" spans="1:21" ht="15">
      <c r="A190" s="271"/>
      <c r="B190" s="289" t="s">
        <v>1695</v>
      </c>
      <c r="C190" s="289">
        <v>150</v>
      </c>
      <c r="D190" s="290">
        <v>30</v>
      </c>
      <c r="E190" s="291">
        <v>30</v>
      </c>
      <c r="F190" s="290">
        <v>21</v>
      </c>
      <c r="G190" s="289">
        <v>180</v>
      </c>
      <c r="H190" s="289">
        <v>0</v>
      </c>
      <c r="I190" s="289">
        <v>60</v>
      </c>
      <c r="J190" s="289">
        <v>0</v>
      </c>
      <c r="K190" s="289">
        <v>0</v>
      </c>
      <c r="L190" s="291">
        <v>10</v>
      </c>
      <c r="M190" s="291">
        <v>18</v>
      </c>
      <c r="N190" s="291">
        <v>18</v>
      </c>
      <c r="O190" s="290">
        <v>1.2</v>
      </c>
      <c r="P190" s="290">
        <v>0.34</v>
      </c>
      <c r="Q190" s="290">
        <v>1.39</v>
      </c>
      <c r="R190" s="290">
        <v>0.3</v>
      </c>
      <c r="S190" s="315"/>
      <c r="T190" s="289"/>
      <c r="U190" s="300">
        <v>5</v>
      </c>
    </row>
    <row r="191" spans="1:21" ht="15">
      <c r="A191" s="271"/>
      <c r="B191" s="289" t="s">
        <v>1696</v>
      </c>
      <c r="C191" s="289">
        <v>150</v>
      </c>
      <c r="D191" s="290">
        <v>30</v>
      </c>
      <c r="E191" s="291">
        <v>30</v>
      </c>
      <c r="F191" s="290">
        <v>21</v>
      </c>
      <c r="G191" s="289">
        <v>180</v>
      </c>
      <c r="H191" s="289">
        <v>0</v>
      </c>
      <c r="I191" s="289">
        <v>60</v>
      </c>
      <c r="J191" s="289">
        <v>0</v>
      </c>
      <c r="K191" s="289">
        <v>0</v>
      </c>
      <c r="L191" s="291">
        <v>10</v>
      </c>
      <c r="M191" s="291">
        <v>18</v>
      </c>
      <c r="N191" s="291">
        <v>18</v>
      </c>
      <c r="O191" s="290">
        <v>0.57999999999999996</v>
      </c>
      <c r="P191" s="290">
        <v>0.14000000000000001</v>
      </c>
      <c r="Q191" s="290">
        <v>0.49</v>
      </c>
      <c r="R191" s="290">
        <v>0.08</v>
      </c>
      <c r="S191" s="299"/>
      <c r="T191" s="299"/>
      <c r="U191" s="300">
        <v>5</v>
      </c>
    </row>
    <row r="192" spans="1:21" ht="30">
      <c r="A192" s="271"/>
      <c r="B192" s="289" t="s">
        <v>1570</v>
      </c>
      <c r="C192" s="289">
        <v>50</v>
      </c>
      <c r="D192" s="290">
        <v>10</v>
      </c>
      <c r="E192" s="291">
        <v>30</v>
      </c>
      <c r="F192" s="290">
        <v>7</v>
      </c>
      <c r="G192" s="289">
        <v>180</v>
      </c>
      <c r="H192" s="289">
        <v>0</v>
      </c>
      <c r="I192" s="289">
        <v>60</v>
      </c>
      <c r="J192" s="289">
        <v>0</v>
      </c>
      <c r="K192" s="289">
        <v>0</v>
      </c>
      <c r="L192" s="291">
        <v>10</v>
      </c>
      <c r="M192" s="291">
        <v>18</v>
      </c>
      <c r="N192" s="291">
        <v>18</v>
      </c>
      <c r="O192" s="290">
        <v>2.44</v>
      </c>
      <c r="P192" s="290">
        <v>0.74</v>
      </c>
      <c r="Q192" s="290">
        <v>3.19</v>
      </c>
      <c r="R192" s="290">
        <v>0.74</v>
      </c>
      <c r="S192" s="299"/>
      <c r="T192" s="299"/>
      <c r="U192" s="300">
        <v>5</v>
      </c>
    </row>
    <row r="193" spans="1:21" ht="15">
      <c r="A193" s="271"/>
      <c r="B193" s="289" t="s">
        <v>1571</v>
      </c>
      <c r="C193" s="289">
        <v>50</v>
      </c>
      <c r="D193" s="290">
        <v>10</v>
      </c>
      <c r="E193" s="291">
        <v>30</v>
      </c>
      <c r="F193" s="290">
        <v>7</v>
      </c>
      <c r="G193" s="289">
        <v>180</v>
      </c>
      <c r="H193" s="289">
        <v>0</v>
      </c>
      <c r="I193" s="289">
        <v>60</v>
      </c>
      <c r="J193" s="289">
        <v>0</v>
      </c>
      <c r="K193" s="289">
        <v>0</v>
      </c>
      <c r="L193" s="291">
        <v>10</v>
      </c>
      <c r="M193" s="291">
        <v>18</v>
      </c>
      <c r="N193" s="291">
        <v>18</v>
      </c>
      <c r="O193" s="290">
        <v>0.57999999999999996</v>
      </c>
      <c r="P193" s="290">
        <v>0.14000000000000001</v>
      </c>
      <c r="Q193" s="290">
        <v>0.49</v>
      </c>
      <c r="R193" s="290">
        <v>0.08</v>
      </c>
      <c r="S193" s="315"/>
      <c r="T193" s="289"/>
      <c r="U193" s="300">
        <v>5</v>
      </c>
    </row>
    <row r="194" spans="1:21" ht="15">
      <c r="A194" s="271"/>
      <c r="B194" s="289" t="s">
        <v>1697</v>
      </c>
      <c r="C194" s="289">
        <v>300</v>
      </c>
      <c r="D194" s="290">
        <v>30</v>
      </c>
      <c r="E194" s="291">
        <v>30</v>
      </c>
      <c r="F194" s="290">
        <v>21</v>
      </c>
      <c r="G194" s="289">
        <v>215</v>
      </c>
      <c r="H194" s="289">
        <v>0</v>
      </c>
      <c r="I194" s="289">
        <v>60</v>
      </c>
      <c r="J194" s="289">
        <v>0</v>
      </c>
      <c r="K194" s="289">
        <v>0</v>
      </c>
      <c r="L194" s="291">
        <v>10</v>
      </c>
      <c r="M194" s="291">
        <v>22</v>
      </c>
      <c r="N194" s="291">
        <v>22</v>
      </c>
      <c r="O194" s="290">
        <v>0.44</v>
      </c>
      <c r="P194" s="290">
        <v>0.13</v>
      </c>
      <c r="Q194" s="290">
        <v>0.83</v>
      </c>
      <c r="R194" s="290">
        <v>0.14000000000000001</v>
      </c>
      <c r="S194" s="315"/>
      <c r="T194" s="299">
        <v>0.5</v>
      </c>
      <c r="U194" s="300">
        <v>10</v>
      </c>
    </row>
    <row r="195" spans="1:21" ht="15">
      <c r="A195" s="271"/>
      <c r="B195" s="289" t="s">
        <v>1698</v>
      </c>
      <c r="C195" s="289">
        <v>150</v>
      </c>
      <c r="D195" s="290">
        <v>30</v>
      </c>
      <c r="E195" s="291">
        <v>30</v>
      </c>
      <c r="F195" s="290">
        <v>21</v>
      </c>
      <c r="G195" s="289">
        <v>215</v>
      </c>
      <c r="H195" s="289">
        <v>0</v>
      </c>
      <c r="I195" s="289">
        <v>60</v>
      </c>
      <c r="J195" s="289">
        <v>0</v>
      </c>
      <c r="K195" s="289">
        <v>0</v>
      </c>
      <c r="L195" s="291">
        <v>10</v>
      </c>
      <c r="M195" s="291">
        <v>22</v>
      </c>
      <c r="N195" s="291">
        <v>22</v>
      </c>
      <c r="O195" s="290">
        <v>1.34</v>
      </c>
      <c r="P195" s="290">
        <v>0.4</v>
      </c>
      <c r="Q195" s="290">
        <v>2.16</v>
      </c>
      <c r="R195" s="290">
        <v>0.4200000000000001</v>
      </c>
      <c r="S195" s="315"/>
      <c r="T195" s="289"/>
      <c r="U195" s="300">
        <v>5</v>
      </c>
    </row>
    <row r="196" spans="1:21" ht="15">
      <c r="A196" s="271"/>
      <c r="B196" s="289" t="s">
        <v>1699</v>
      </c>
      <c r="C196" s="289">
        <v>150</v>
      </c>
      <c r="D196" s="290">
        <v>30</v>
      </c>
      <c r="E196" s="291">
        <v>30</v>
      </c>
      <c r="F196" s="290">
        <v>21</v>
      </c>
      <c r="G196" s="289">
        <v>215</v>
      </c>
      <c r="H196" s="289">
        <v>0</v>
      </c>
      <c r="I196" s="289">
        <v>60</v>
      </c>
      <c r="J196" s="289">
        <v>0</v>
      </c>
      <c r="K196" s="289">
        <v>0</v>
      </c>
      <c r="L196" s="291">
        <v>10</v>
      </c>
      <c r="M196" s="291">
        <v>22</v>
      </c>
      <c r="N196" s="291">
        <v>22</v>
      </c>
      <c r="O196" s="290">
        <v>0.46</v>
      </c>
      <c r="P196" s="290">
        <v>0.14000000000000001</v>
      </c>
      <c r="Q196" s="290">
        <v>0.5</v>
      </c>
      <c r="R196" s="290">
        <v>0.14000000000000001</v>
      </c>
      <c r="S196" s="299"/>
      <c r="T196" s="299"/>
      <c r="U196" s="300">
        <v>5</v>
      </c>
    </row>
    <row r="197" spans="1:21" ht="30">
      <c r="A197" s="271"/>
      <c r="B197" s="289" t="s">
        <v>1700</v>
      </c>
      <c r="C197" s="289">
        <v>50</v>
      </c>
      <c r="D197" s="290">
        <v>10</v>
      </c>
      <c r="E197" s="291">
        <v>30</v>
      </c>
      <c r="F197" s="290">
        <v>7</v>
      </c>
      <c r="G197" s="289">
        <v>215</v>
      </c>
      <c r="H197" s="289">
        <v>0</v>
      </c>
      <c r="I197" s="289">
        <v>60</v>
      </c>
      <c r="J197" s="289">
        <v>0</v>
      </c>
      <c r="K197" s="289">
        <v>0</v>
      </c>
      <c r="L197" s="291">
        <v>10</v>
      </c>
      <c r="M197" s="291">
        <v>22</v>
      </c>
      <c r="N197" s="291">
        <v>22</v>
      </c>
      <c r="O197" s="290">
        <v>3.1</v>
      </c>
      <c r="P197" s="290">
        <v>0.92</v>
      </c>
      <c r="Q197" s="290">
        <v>5.48</v>
      </c>
      <c r="R197" s="290">
        <v>0.98000000000000009</v>
      </c>
      <c r="S197" s="299"/>
      <c r="T197" s="299"/>
      <c r="U197" s="300">
        <v>5</v>
      </c>
    </row>
    <row r="198" spans="1:21" ht="30">
      <c r="A198" s="271"/>
      <c r="B198" s="289" t="s">
        <v>1701</v>
      </c>
      <c r="C198" s="289">
        <v>50</v>
      </c>
      <c r="D198" s="290">
        <v>10</v>
      </c>
      <c r="E198" s="291">
        <v>30</v>
      </c>
      <c r="F198" s="290">
        <v>7</v>
      </c>
      <c r="G198" s="289">
        <v>215</v>
      </c>
      <c r="H198" s="289">
        <v>0</v>
      </c>
      <c r="I198" s="289">
        <v>60</v>
      </c>
      <c r="J198" s="289">
        <v>0</v>
      </c>
      <c r="K198" s="289">
        <v>0</v>
      </c>
      <c r="L198" s="291">
        <v>10</v>
      </c>
      <c r="M198" s="291">
        <v>22</v>
      </c>
      <c r="N198" s="291">
        <v>22</v>
      </c>
      <c r="O198" s="290">
        <v>0.46</v>
      </c>
      <c r="P198" s="290">
        <v>0.14000000000000001</v>
      </c>
      <c r="Q198" s="290">
        <v>0.5</v>
      </c>
      <c r="R198" s="290">
        <v>0.14000000000000001</v>
      </c>
      <c r="S198" s="315"/>
      <c r="T198" s="289"/>
      <c r="U198" s="300">
        <v>5</v>
      </c>
    </row>
    <row r="199" spans="1:21" ht="15">
      <c r="A199" s="271"/>
      <c r="B199" s="289" t="s">
        <v>1572</v>
      </c>
      <c r="C199" s="289">
        <v>350</v>
      </c>
      <c r="D199" s="290">
        <v>20</v>
      </c>
      <c r="E199" s="291">
        <v>30</v>
      </c>
      <c r="F199" s="290">
        <v>14</v>
      </c>
      <c r="G199" s="289">
        <v>185</v>
      </c>
      <c r="H199" s="289">
        <v>0</v>
      </c>
      <c r="I199" s="289">
        <v>60</v>
      </c>
      <c r="J199" s="289">
        <v>0</v>
      </c>
      <c r="K199" s="289">
        <v>0</v>
      </c>
      <c r="L199" s="291">
        <v>10</v>
      </c>
      <c r="M199" s="291">
        <v>19</v>
      </c>
      <c r="N199" s="291">
        <v>19</v>
      </c>
      <c r="O199" s="290">
        <v>0.41</v>
      </c>
      <c r="P199" s="290">
        <v>0.12</v>
      </c>
      <c r="Q199" s="290">
        <v>0.78</v>
      </c>
      <c r="R199" s="290">
        <v>0.06</v>
      </c>
      <c r="S199" s="315"/>
      <c r="T199" s="289"/>
      <c r="U199" s="300">
        <v>10</v>
      </c>
    </row>
    <row r="200" spans="1:21" ht="15">
      <c r="A200" s="271"/>
      <c r="B200" s="289" t="s">
        <v>1573</v>
      </c>
      <c r="C200" s="289">
        <v>350</v>
      </c>
      <c r="D200" s="290">
        <v>70</v>
      </c>
      <c r="E200" s="291">
        <v>30</v>
      </c>
      <c r="F200" s="290">
        <v>49</v>
      </c>
      <c r="G200" s="289">
        <v>225</v>
      </c>
      <c r="H200" s="289">
        <v>0</v>
      </c>
      <c r="I200" s="289">
        <v>30</v>
      </c>
      <c r="J200" s="289">
        <v>0</v>
      </c>
      <c r="K200" s="289">
        <v>0</v>
      </c>
      <c r="L200" s="291">
        <v>10</v>
      </c>
      <c r="M200" s="291">
        <v>23</v>
      </c>
      <c r="N200" s="291">
        <v>23</v>
      </c>
      <c r="O200" s="290">
        <v>0.57999999999999996</v>
      </c>
      <c r="P200" s="290">
        <v>0.14000000000000001</v>
      </c>
      <c r="Q200" s="290">
        <v>0.41</v>
      </c>
      <c r="R200" s="290">
        <v>0.03</v>
      </c>
      <c r="S200" s="315">
        <v>0.46</v>
      </c>
      <c r="T200" s="289"/>
      <c r="U200" s="300">
        <v>5</v>
      </c>
    </row>
    <row r="201" spans="1:21" ht="15">
      <c r="A201" s="271"/>
      <c r="B201" s="289" t="s">
        <v>1702</v>
      </c>
      <c r="C201" s="289">
        <v>350</v>
      </c>
      <c r="D201" s="290">
        <v>70</v>
      </c>
      <c r="E201" s="291">
        <v>30</v>
      </c>
      <c r="F201" s="290">
        <v>49</v>
      </c>
      <c r="G201" s="289">
        <v>225</v>
      </c>
      <c r="H201" s="289">
        <v>0</v>
      </c>
      <c r="I201" s="289">
        <v>30</v>
      </c>
      <c r="J201" s="289">
        <v>0</v>
      </c>
      <c r="K201" s="289">
        <v>0</v>
      </c>
      <c r="L201" s="291">
        <v>10</v>
      </c>
      <c r="M201" s="291">
        <v>23</v>
      </c>
      <c r="N201" s="291">
        <v>23</v>
      </c>
      <c r="O201" s="290">
        <v>0.57999999999999996</v>
      </c>
      <c r="P201" s="290">
        <v>0.14000000000000001</v>
      </c>
      <c r="Q201" s="290">
        <v>0.41</v>
      </c>
      <c r="R201" s="290">
        <v>0.03</v>
      </c>
      <c r="S201" s="315">
        <v>0.46</v>
      </c>
      <c r="T201" s="289"/>
      <c r="U201" s="300">
        <v>5</v>
      </c>
    </row>
    <row r="202" spans="1:21" ht="15">
      <c r="A202" s="271"/>
      <c r="B202" s="289" t="s">
        <v>1703</v>
      </c>
      <c r="C202" s="294">
        <v>80</v>
      </c>
      <c r="D202" s="290">
        <v>20</v>
      </c>
      <c r="E202" s="291">
        <v>30</v>
      </c>
      <c r="F202" s="290">
        <v>14</v>
      </c>
      <c r="G202" s="294">
        <v>45</v>
      </c>
      <c r="H202" s="289">
        <v>0</v>
      </c>
      <c r="I202" s="294">
        <v>30</v>
      </c>
      <c r="J202" s="294">
        <v>0</v>
      </c>
      <c r="K202" s="294">
        <v>0</v>
      </c>
      <c r="L202" s="291">
        <v>10</v>
      </c>
      <c r="M202" s="291">
        <v>2</v>
      </c>
      <c r="N202" s="291">
        <v>2</v>
      </c>
      <c r="O202" s="290">
        <v>0.3</v>
      </c>
      <c r="P202" s="290">
        <v>0.09</v>
      </c>
      <c r="Q202" s="290">
        <v>0.57999999999999996</v>
      </c>
      <c r="R202" s="290">
        <v>0.04</v>
      </c>
      <c r="S202" s="299"/>
      <c r="T202" s="299"/>
      <c r="U202" s="299">
        <v>4</v>
      </c>
    </row>
    <row r="203" spans="1:21" ht="15">
      <c r="A203" s="271"/>
      <c r="B203" s="289" t="s">
        <v>1574</v>
      </c>
      <c r="C203" s="289">
        <v>150</v>
      </c>
      <c r="D203" s="290">
        <v>30</v>
      </c>
      <c r="E203" s="291">
        <v>30</v>
      </c>
      <c r="F203" s="290">
        <v>21</v>
      </c>
      <c r="G203" s="289">
        <v>100</v>
      </c>
      <c r="H203" s="289">
        <v>0</v>
      </c>
      <c r="I203" s="289">
        <v>60</v>
      </c>
      <c r="J203" s="289">
        <v>0</v>
      </c>
      <c r="K203" s="289">
        <v>0</v>
      </c>
      <c r="L203" s="291">
        <v>10</v>
      </c>
      <c r="M203" s="291">
        <v>5</v>
      </c>
      <c r="N203" s="291">
        <v>5</v>
      </c>
      <c r="O203" s="290">
        <v>0.41</v>
      </c>
      <c r="P203" s="290">
        <v>0.12</v>
      </c>
      <c r="Q203" s="290">
        <v>0.77</v>
      </c>
      <c r="R203" s="290">
        <v>0.08</v>
      </c>
      <c r="S203" s="289"/>
      <c r="T203" s="289"/>
      <c r="U203" s="300">
        <v>5</v>
      </c>
    </row>
    <row r="204" spans="1:21" ht="15">
      <c r="A204" s="271"/>
      <c r="B204" s="289" t="s">
        <v>1575</v>
      </c>
      <c r="C204" s="289">
        <v>120</v>
      </c>
      <c r="D204" s="290">
        <v>24</v>
      </c>
      <c r="E204" s="291">
        <v>30</v>
      </c>
      <c r="F204" s="290">
        <v>16.8</v>
      </c>
      <c r="G204" s="289">
        <v>130</v>
      </c>
      <c r="H204" s="289">
        <v>0</v>
      </c>
      <c r="I204" s="289">
        <v>60</v>
      </c>
      <c r="J204" s="289">
        <v>0</v>
      </c>
      <c r="K204" s="289">
        <v>0</v>
      </c>
      <c r="L204" s="291">
        <v>10</v>
      </c>
      <c r="M204" s="291">
        <v>13</v>
      </c>
      <c r="N204" s="291">
        <v>13</v>
      </c>
      <c r="O204" s="290">
        <v>0.73</v>
      </c>
      <c r="P204" s="290">
        <v>0.46</v>
      </c>
      <c r="Q204" s="290">
        <v>0.55000000000000004</v>
      </c>
      <c r="R204" s="290">
        <v>0.13</v>
      </c>
      <c r="S204" s="289"/>
      <c r="T204" s="289"/>
      <c r="U204" s="300">
        <v>5</v>
      </c>
    </row>
    <row r="205" spans="1:21" ht="15">
      <c r="A205" s="271"/>
      <c r="B205" s="289" t="s">
        <v>1576</v>
      </c>
      <c r="C205" s="289">
        <v>40</v>
      </c>
      <c r="D205" s="290">
        <v>8</v>
      </c>
      <c r="E205" s="291">
        <v>30</v>
      </c>
      <c r="F205" s="290">
        <v>5.6</v>
      </c>
      <c r="G205" s="289">
        <v>150</v>
      </c>
      <c r="H205" s="289">
        <v>0</v>
      </c>
      <c r="I205" s="289">
        <v>60</v>
      </c>
      <c r="J205" s="289">
        <v>0</v>
      </c>
      <c r="K205" s="289">
        <v>0</v>
      </c>
      <c r="L205" s="291">
        <v>10</v>
      </c>
      <c r="M205" s="291">
        <v>15</v>
      </c>
      <c r="N205" s="291">
        <v>15</v>
      </c>
      <c r="O205" s="290">
        <v>3.27</v>
      </c>
      <c r="P205" s="290">
        <v>1.2</v>
      </c>
      <c r="Q205" s="290">
        <v>4.4400000000000004</v>
      </c>
      <c r="R205" s="290">
        <v>0.38</v>
      </c>
      <c r="S205" s="299"/>
      <c r="T205" s="299"/>
      <c r="U205" s="300">
        <v>5</v>
      </c>
    </row>
    <row r="206" spans="1:21" ht="15">
      <c r="A206" s="271"/>
      <c r="B206" s="289" t="s">
        <v>1577</v>
      </c>
      <c r="C206" s="289">
        <v>40</v>
      </c>
      <c r="D206" s="290">
        <v>8</v>
      </c>
      <c r="E206" s="291">
        <v>30</v>
      </c>
      <c r="F206" s="290">
        <v>5.6</v>
      </c>
      <c r="G206" s="289">
        <v>150</v>
      </c>
      <c r="H206" s="289">
        <v>0</v>
      </c>
      <c r="I206" s="289">
        <v>60</v>
      </c>
      <c r="J206" s="289">
        <v>0</v>
      </c>
      <c r="K206" s="289">
        <v>0</v>
      </c>
      <c r="L206" s="291">
        <v>10</v>
      </c>
      <c r="M206" s="291">
        <v>15</v>
      </c>
      <c r="N206" s="291">
        <v>15</v>
      </c>
      <c r="O206" s="290">
        <v>0.56999999999999995</v>
      </c>
      <c r="P206" s="290">
        <v>0.25</v>
      </c>
      <c r="Q206" s="290">
        <v>0.49</v>
      </c>
      <c r="R206" s="290">
        <v>0.08</v>
      </c>
      <c r="S206" s="299">
        <v>2.2999999999999998</v>
      </c>
      <c r="T206" s="299">
        <v>5</v>
      </c>
      <c r="U206" s="300">
        <v>5</v>
      </c>
    </row>
    <row r="207" spans="1:21" ht="15">
      <c r="A207" s="271"/>
      <c r="B207" s="289" t="s">
        <v>1578</v>
      </c>
      <c r="C207" s="289">
        <v>300</v>
      </c>
      <c r="D207" s="290">
        <v>60</v>
      </c>
      <c r="E207" s="291">
        <v>30</v>
      </c>
      <c r="F207" s="290">
        <v>42</v>
      </c>
      <c r="G207" s="289">
        <v>135</v>
      </c>
      <c r="H207" s="289">
        <v>0</v>
      </c>
      <c r="I207" s="289">
        <v>60</v>
      </c>
      <c r="J207" s="289">
        <v>0</v>
      </c>
      <c r="K207" s="289">
        <v>0</v>
      </c>
      <c r="L207" s="291">
        <v>10</v>
      </c>
      <c r="M207" s="291">
        <v>14</v>
      </c>
      <c r="N207" s="291">
        <v>14</v>
      </c>
      <c r="O207" s="290">
        <v>0.39</v>
      </c>
      <c r="P207" s="290">
        <v>0.17</v>
      </c>
      <c r="Q207" s="290">
        <v>0.67</v>
      </c>
      <c r="R207" s="290">
        <v>0.08</v>
      </c>
      <c r="S207" s="299"/>
      <c r="T207" s="299"/>
      <c r="U207" s="300">
        <v>5</v>
      </c>
    </row>
    <row r="208" spans="1:21" ht="15">
      <c r="A208" s="271"/>
      <c r="B208" s="289" t="s">
        <v>1581</v>
      </c>
      <c r="C208" s="289">
        <v>100</v>
      </c>
      <c r="D208" s="290">
        <v>20</v>
      </c>
      <c r="E208" s="291">
        <v>30</v>
      </c>
      <c r="F208" s="290">
        <v>14</v>
      </c>
      <c r="G208" s="289">
        <v>80</v>
      </c>
      <c r="H208" s="289">
        <v>0</v>
      </c>
      <c r="I208" s="289">
        <v>30</v>
      </c>
      <c r="J208" s="289">
        <v>0</v>
      </c>
      <c r="K208" s="289">
        <v>0</v>
      </c>
      <c r="L208" s="291">
        <v>10</v>
      </c>
      <c r="M208" s="291">
        <v>4</v>
      </c>
      <c r="N208" s="291">
        <v>4</v>
      </c>
      <c r="O208" s="290">
        <v>0.41</v>
      </c>
      <c r="P208" s="290">
        <v>0.1</v>
      </c>
      <c r="Q208" s="290">
        <v>0.7</v>
      </c>
      <c r="R208" s="290">
        <v>0.04</v>
      </c>
      <c r="S208" s="315"/>
      <c r="T208" s="289"/>
      <c r="U208" s="300">
        <v>10</v>
      </c>
    </row>
    <row r="209" spans="1:21" ht="15">
      <c r="A209" s="271"/>
      <c r="B209" s="289" t="s">
        <v>1704</v>
      </c>
      <c r="C209" s="289">
        <v>800</v>
      </c>
      <c r="D209" s="290">
        <v>20</v>
      </c>
      <c r="E209" s="291">
        <v>10</v>
      </c>
      <c r="F209" s="290">
        <v>18</v>
      </c>
      <c r="G209" s="289">
        <v>440</v>
      </c>
      <c r="H209" s="289">
        <v>0</v>
      </c>
      <c r="I209" s="289">
        <v>60</v>
      </c>
      <c r="J209" s="289">
        <v>0</v>
      </c>
      <c r="K209" s="289">
        <v>0</v>
      </c>
      <c r="L209" s="291">
        <v>10</v>
      </c>
      <c r="M209" s="291">
        <v>44</v>
      </c>
      <c r="N209" s="291">
        <v>44</v>
      </c>
      <c r="O209" s="290">
        <v>0.5</v>
      </c>
      <c r="P209" s="290">
        <v>0.13700000000000001</v>
      </c>
      <c r="Q209" s="290">
        <v>0.52</v>
      </c>
      <c r="R209" s="290">
        <v>7.0000000000000007E-2</v>
      </c>
      <c r="S209" s="299"/>
      <c r="T209" s="299"/>
      <c r="U209" s="300">
        <v>10</v>
      </c>
    </row>
    <row r="210" spans="1:21" ht="15">
      <c r="A210" s="271"/>
      <c r="B210" s="289" t="s">
        <v>1579</v>
      </c>
      <c r="C210" s="294">
        <v>150</v>
      </c>
      <c r="D210" s="290">
        <v>30</v>
      </c>
      <c r="E210" s="291">
        <v>30</v>
      </c>
      <c r="F210" s="290">
        <v>21</v>
      </c>
      <c r="G210" s="294">
        <v>105</v>
      </c>
      <c r="H210" s="289">
        <v>0</v>
      </c>
      <c r="I210" s="294">
        <v>60</v>
      </c>
      <c r="J210" s="294">
        <v>0</v>
      </c>
      <c r="K210" s="294">
        <v>0</v>
      </c>
      <c r="L210" s="291">
        <v>10</v>
      </c>
      <c r="M210" s="291">
        <v>5</v>
      </c>
      <c r="N210" s="291">
        <v>5</v>
      </c>
      <c r="O210" s="290">
        <v>0.42</v>
      </c>
      <c r="P210" s="290">
        <v>0.1</v>
      </c>
      <c r="Q210" s="290">
        <v>0.56000000000000005</v>
      </c>
      <c r="R210" s="290">
        <v>0.12</v>
      </c>
      <c r="S210" s="299"/>
      <c r="T210" s="299"/>
      <c r="U210" s="300">
        <v>5</v>
      </c>
    </row>
    <row r="211" spans="1:21" ht="15">
      <c r="A211" s="271"/>
      <c r="B211" s="289" t="s">
        <v>1582</v>
      </c>
      <c r="C211" s="294">
        <v>300</v>
      </c>
      <c r="D211" s="290">
        <v>60</v>
      </c>
      <c r="E211" s="291">
        <v>30</v>
      </c>
      <c r="F211" s="290">
        <v>42</v>
      </c>
      <c r="G211" s="294">
        <v>185</v>
      </c>
      <c r="H211" s="289">
        <v>0</v>
      </c>
      <c r="I211" s="294">
        <v>60</v>
      </c>
      <c r="J211" s="294">
        <v>0</v>
      </c>
      <c r="K211" s="294">
        <v>0</v>
      </c>
      <c r="L211" s="291">
        <v>10</v>
      </c>
      <c r="M211" s="291">
        <v>19</v>
      </c>
      <c r="N211" s="291">
        <v>19</v>
      </c>
      <c r="O211" s="290">
        <v>0.49</v>
      </c>
      <c r="P211" s="290">
        <v>0.14000000000000001</v>
      </c>
      <c r="Q211" s="290">
        <v>0.76</v>
      </c>
      <c r="R211" s="290">
        <v>0.09</v>
      </c>
      <c r="S211" s="299"/>
      <c r="T211" s="299"/>
      <c r="U211" s="300">
        <v>5</v>
      </c>
    </row>
    <row r="212" spans="1:21" ht="15">
      <c r="A212" s="271"/>
      <c r="B212" s="289" t="s">
        <v>1583</v>
      </c>
      <c r="C212" s="294">
        <v>265</v>
      </c>
      <c r="D212" s="290">
        <v>100</v>
      </c>
      <c r="E212" s="291">
        <v>30</v>
      </c>
      <c r="F212" s="290">
        <v>70</v>
      </c>
      <c r="G212" s="294">
        <v>155</v>
      </c>
      <c r="H212" s="289">
        <v>0</v>
      </c>
      <c r="I212" s="294">
        <v>60</v>
      </c>
      <c r="J212" s="294">
        <v>0</v>
      </c>
      <c r="K212" s="294">
        <v>0</v>
      </c>
      <c r="L212" s="291">
        <v>10</v>
      </c>
      <c r="M212" s="291">
        <v>16</v>
      </c>
      <c r="N212" s="291">
        <v>16</v>
      </c>
      <c r="O212" s="290">
        <v>0.44</v>
      </c>
      <c r="P212" s="290">
        <v>0.14000000000000001</v>
      </c>
      <c r="Q212" s="290">
        <v>0.6</v>
      </c>
      <c r="R212" s="290">
        <v>0.08</v>
      </c>
      <c r="S212" s="299"/>
      <c r="T212" s="299"/>
      <c r="U212" s="300">
        <v>7</v>
      </c>
    </row>
  </sheetData>
  <sheetProtection algorithmName="SHA-512" hashValue="mC2FXEjlYHyZ6XZIyjnZNhxPFNy2uqXx011zsQ3ljWg7aSCqMYpoHMBni/4ES/qowhPN6wAkJcyOO0M4dezHsQ==" saltValue="yJ6F9JfAFdTZnFHfghnUsg==" spinCount="100000" sheet="1" objects="1" scenarios="1"/>
  <sortState ref="A153:Y260">
    <sortCondition ref="B153:B260"/>
  </sortState>
  <conditionalFormatting sqref="A2:A212">
    <cfRule type="cellIs" dxfId="78" priority="4" operator="equal">
      <formula>3</formula>
    </cfRule>
  </conditionalFormatting>
  <dataValidations count="1">
    <dataValidation type="whole" allowBlank="1" showInputMessage="1" showErrorMessage="1" sqref="E2:E212">
      <formula1>0</formula1>
      <formula2>100</formula2>
    </dataValidation>
  </dataValidations>
  <pageMargins left="0.78740157480314965" right="0.19685039370078741" top="0.59055118110236227" bottom="0.59055118110236227" header="0.19685039370078741" footer="0.31496062992125984"/>
  <pageSetup paperSize="9" scale="80" orientation="landscape" r:id="rId1"/>
  <headerFooter>
    <oddHeader xml:space="preserve">&amp;L&amp;8Dienstleistungszentrum Ländlicher Raum (DLR) - Rheinpfalz, Breitenweg 71, 67435 Neustadt/Weinstraße
Alle Angaben ohne Gewähr. </oddHeader>
    <oddFooter>&amp;C&amp;P</oddFooter>
  </headerFooter>
  <drawing r:id="rId2"/>
  <legacyDrawing r:id="rId3"/>
  <tableParts count="2">
    <tablePart r:id="rId4"/>
    <tablePart r:id="rId5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B2"/>
  <sheetViews>
    <sheetView workbookViewId="0">
      <selection activeCell="D21" sqref="D21"/>
    </sheetView>
  </sheetViews>
  <sheetFormatPr baseColWidth="10" defaultRowHeight="15"/>
  <cols>
    <col min="1" max="1" width="18.140625" style="328" customWidth="1"/>
    <col min="2" max="2" width="25.7109375" style="328" customWidth="1"/>
    <col min="3" max="16384" width="11.42578125" style="320"/>
  </cols>
  <sheetData>
    <row r="1" spans="1:2">
      <c r="A1" s="327" t="s">
        <v>0</v>
      </c>
      <c r="B1" s="327" t="s">
        <v>2</v>
      </c>
    </row>
    <row r="2" spans="1:2">
      <c r="A2" s="328" t="s">
        <v>8</v>
      </c>
      <c r="B2" s="328">
        <v>20</v>
      </c>
    </row>
  </sheetData>
  <sheetProtection algorithmName="SHA-512" hashValue="jAQhK2yX7e+GU84PQJdHgOo1st8bQvi12gJrGfv5p52ibGuO1XD90KojnjvCPUa+p+gCKQIm5UI+AXbQoa1mGw==" saltValue="5phaQd2utys4mCV1FPBVSw==" spinCount="100000" sheet="1" objects="1" scenarios="1"/>
  <customSheetViews>
    <customSheetView guid="{0E46878E-35A0-4520-9188-2905702DCB38}">
      <selection activeCell="A3" sqref="A3"/>
      <pageMargins left="0.7" right="0.7" top="0.78740157499999996" bottom="0.78740157499999996" header="0.3" footer="0.3"/>
    </customSheetView>
  </customSheetViews>
  <pageMargins left="0.78740157480314965" right="0.39370078740157483" top="0.78740157480314965" bottom="0.19685039370078741" header="0.31496062992125984" footer="0.31496062992125984"/>
  <pageSetup paperSize="9" orientation="portrait" r:id="rId1"/>
  <headerFooter>
    <oddHeader xml:space="preserve">&amp;L&amp;8Dienstleistungszentrum Ländlicher Raum (DLR) - Rheinpfalz, Breitenweg 71, 67435 Neustadt/Weinstraße
Alle Angaben ohne Gewähr. </oddHeader>
  </headerFooter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B61"/>
  <sheetViews>
    <sheetView workbookViewId="0">
      <pane ySplit="1" topLeftCell="A2" activePane="bottomLeft" state="frozen"/>
      <selection pane="bottomLeft" activeCell="E14" sqref="E14"/>
    </sheetView>
  </sheetViews>
  <sheetFormatPr baseColWidth="10" defaultRowHeight="15"/>
  <cols>
    <col min="1" max="1" width="33.5703125" style="320" customWidth="1"/>
    <col min="2" max="2" width="13.85546875" style="328" customWidth="1"/>
    <col min="3" max="16384" width="11.42578125" style="320"/>
  </cols>
  <sheetData>
    <row r="1" spans="1:2" s="323" customFormat="1" ht="44.25" customHeight="1">
      <c r="A1" s="323" t="s">
        <v>822</v>
      </c>
      <c r="B1" s="329" t="s">
        <v>1136</v>
      </c>
    </row>
    <row r="2" spans="1:2">
      <c r="A2" s="320" t="s">
        <v>1137</v>
      </c>
      <c r="B2" s="251">
        <v>20</v>
      </c>
    </row>
    <row r="3" spans="1:2">
      <c r="A3" s="320" t="s">
        <v>1138</v>
      </c>
      <c r="B3" s="251">
        <v>10</v>
      </c>
    </row>
    <row r="4" spans="1:2">
      <c r="A4" s="320" t="s">
        <v>1139</v>
      </c>
      <c r="B4" s="251">
        <v>0</v>
      </c>
    </row>
    <row r="5" spans="1:2">
      <c r="A5" s="320" t="s">
        <v>1140</v>
      </c>
      <c r="B5" s="251">
        <v>0</v>
      </c>
    </row>
    <row r="6" spans="1:2">
      <c r="A6" s="320" t="s">
        <v>1141</v>
      </c>
      <c r="B6" s="251">
        <v>20</v>
      </c>
    </row>
    <row r="7" spans="1:2">
      <c r="A7" s="320" t="s">
        <v>1142</v>
      </c>
      <c r="B7" s="251">
        <v>0</v>
      </c>
    </row>
    <row r="8" spans="1:2">
      <c r="A8" s="320" t="s">
        <v>1143</v>
      </c>
      <c r="B8" s="251">
        <v>20</v>
      </c>
    </row>
    <row r="9" spans="1:2">
      <c r="A9" s="320" t="s">
        <v>1144</v>
      </c>
      <c r="B9" s="251">
        <v>20</v>
      </c>
    </row>
    <row r="10" spans="1:2">
      <c r="A10" s="320" t="s">
        <v>1145</v>
      </c>
      <c r="B10" s="251">
        <v>10</v>
      </c>
    </row>
    <row r="11" spans="1:2">
      <c r="A11" s="320" t="s">
        <v>1146</v>
      </c>
      <c r="B11" s="251">
        <v>10</v>
      </c>
    </row>
    <row r="12" spans="1:2">
      <c r="A12" s="320" t="s">
        <v>1147</v>
      </c>
      <c r="B12" s="251">
        <v>0</v>
      </c>
    </row>
    <row r="13" spans="1:2">
      <c r="A13" s="320" t="s">
        <v>1148</v>
      </c>
      <c r="B13" s="251">
        <v>20</v>
      </c>
    </row>
    <row r="14" spans="1:2">
      <c r="A14" s="320" t="s">
        <v>1149</v>
      </c>
      <c r="B14" s="251">
        <v>10</v>
      </c>
    </row>
    <row r="15" spans="1:2">
      <c r="A15" s="320" t="s">
        <v>1150</v>
      </c>
      <c r="B15" s="251">
        <v>20</v>
      </c>
    </row>
    <row r="16" spans="1:2">
      <c r="A16" s="320" t="s">
        <v>1151</v>
      </c>
      <c r="B16" s="251">
        <v>10</v>
      </c>
    </row>
    <row r="17" spans="1:2">
      <c r="A17" s="320" t="s">
        <v>1152</v>
      </c>
      <c r="B17" s="251">
        <v>0</v>
      </c>
    </row>
    <row r="18" spans="1:2">
      <c r="A18" s="320" t="s">
        <v>1153</v>
      </c>
      <c r="B18" s="251">
        <v>10</v>
      </c>
    </row>
    <row r="61" spans="1:1">
      <c r="A61" s="326"/>
    </row>
  </sheetData>
  <sheetProtection algorithmName="SHA-512" hashValue="VoJdd1VrwaqEx/TvMA9DHmLcQnDL3XfMMQW1SR8+Gx3QuauUxE7oaJxEfa+LJgBFq5CzHWhQTUHuE/JRoV74qw==" saltValue="TFDHDK+EyxlJ2jI/Nfh3ug==" spinCount="100000" sheet="1" objects="1" scenarios="1"/>
  <sortState ref="A2:D99">
    <sortCondition ref="A2:A99"/>
  </sortState>
  <customSheetViews>
    <customSheetView guid="{0E46878E-35A0-4520-9188-2905702DCB38}">
      <selection activeCell="A37" sqref="A37"/>
      <pageMargins left="0.7" right="0.7" top="0.78740157499999996" bottom="0.78740157499999996" header="0.3" footer="0.3"/>
    </customSheetView>
  </customSheetViews>
  <pageMargins left="0.78740157480314965" right="0.39370078740157483" top="0.78740157480314965" bottom="0.19685039370078741" header="0.31496062992125984" footer="0.31496062992125984"/>
  <pageSetup paperSize="9" orientation="portrait" r:id="rId1"/>
  <headerFooter>
    <oddHeader xml:space="preserve">&amp;L&amp;8Dienstleistungszentrum Ländlicher Raum (DLR) - Rheinpfalz, Breitenweg 71, 67435 Neustadt/Weinstraße
Alle Angaben ohne Gewähr. </oddHeader>
  </headerFooter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84"/>
  <sheetViews>
    <sheetView workbookViewId="0">
      <pane ySplit="1" topLeftCell="A2" activePane="bottomLeft" state="frozen"/>
      <selection activeCell="N12" sqref="N12"/>
      <selection pane="bottomLeft" activeCell="D14" sqref="D14"/>
    </sheetView>
  </sheetViews>
  <sheetFormatPr baseColWidth="10" defaultRowHeight="15"/>
  <cols>
    <col min="1" max="1" width="53.28515625" style="320" customWidth="1"/>
    <col min="2" max="2" width="12.140625" style="328" customWidth="1"/>
    <col min="3" max="16384" width="11.42578125" style="320"/>
  </cols>
  <sheetData>
    <row r="1" spans="1:2" s="323" customFormat="1" ht="44.25" customHeight="1">
      <c r="A1" s="323" t="s">
        <v>822</v>
      </c>
      <c r="B1" s="329" t="s">
        <v>1136</v>
      </c>
    </row>
    <row r="2" spans="1:2">
      <c r="A2" s="320" t="s">
        <v>1154</v>
      </c>
      <c r="B2" s="251">
        <v>0</v>
      </c>
    </row>
    <row r="3" spans="1:2">
      <c r="A3" s="320" t="s">
        <v>1155</v>
      </c>
      <c r="B3" s="251">
        <v>10</v>
      </c>
    </row>
    <row r="4" spans="1:2">
      <c r="A4" s="320" t="s">
        <v>1156</v>
      </c>
      <c r="B4" s="251">
        <v>10</v>
      </c>
    </row>
    <row r="5" spans="1:2">
      <c r="A5" s="320" t="s">
        <v>1157</v>
      </c>
      <c r="B5" s="251">
        <v>40</v>
      </c>
    </row>
    <row r="6" spans="1:2">
      <c r="A6" s="320" t="s">
        <v>1158</v>
      </c>
      <c r="B6" s="251">
        <v>10</v>
      </c>
    </row>
    <row r="7" spans="1:2">
      <c r="A7" s="320" t="s">
        <v>1159</v>
      </c>
      <c r="B7" s="251">
        <v>0</v>
      </c>
    </row>
    <row r="8" spans="1:2">
      <c r="A8" s="320" t="s">
        <v>1160</v>
      </c>
      <c r="B8" s="251">
        <v>20</v>
      </c>
    </row>
    <row r="9" spans="1:2">
      <c r="A9" s="320" t="s">
        <v>1161</v>
      </c>
      <c r="B9" s="251">
        <v>0</v>
      </c>
    </row>
    <row r="25" spans="1:2" s="325" customFormat="1">
      <c r="A25" s="320"/>
      <c r="B25" s="328"/>
    </row>
    <row r="38" spans="1:2" s="325" customFormat="1">
      <c r="A38" s="320"/>
      <c r="B38" s="328"/>
    </row>
    <row r="39" spans="1:2" s="325" customFormat="1">
      <c r="A39" s="320"/>
      <c r="B39" s="328"/>
    </row>
    <row r="40" spans="1:2" s="325" customFormat="1">
      <c r="A40" s="320"/>
      <c r="B40" s="328"/>
    </row>
    <row r="41" spans="1:2" s="325" customFormat="1">
      <c r="A41" s="320"/>
      <c r="B41" s="328"/>
    </row>
    <row r="42" spans="1:2" s="325" customFormat="1">
      <c r="A42" s="320"/>
      <c r="B42" s="328"/>
    </row>
    <row r="43" spans="1:2" s="325" customFormat="1">
      <c r="A43" s="320"/>
      <c r="B43" s="328"/>
    </row>
    <row r="44" spans="1:2" s="325" customFormat="1">
      <c r="A44" s="320"/>
      <c r="B44" s="328"/>
    </row>
    <row r="52" spans="1:2" s="325" customFormat="1">
      <c r="A52" s="326"/>
      <c r="B52" s="328"/>
    </row>
    <row r="62" spans="1:2" s="325" customFormat="1">
      <c r="A62" s="320"/>
      <c r="B62" s="328"/>
    </row>
    <row r="63" spans="1:2" s="325" customFormat="1">
      <c r="A63" s="320"/>
      <c r="B63" s="328"/>
    </row>
    <row r="64" spans="1:2" s="325" customFormat="1">
      <c r="A64" s="320"/>
      <c r="B64" s="328"/>
    </row>
    <row r="66" spans="1:2" s="325" customFormat="1">
      <c r="A66" s="320"/>
      <c r="B66" s="328"/>
    </row>
    <row r="67" spans="1:2" s="325" customFormat="1">
      <c r="A67" s="320"/>
      <c r="B67" s="328"/>
    </row>
    <row r="68" spans="1:2" s="325" customFormat="1">
      <c r="A68" s="320"/>
      <c r="B68" s="328"/>
    </row>
    <row r="69" spans="1:2" s="325" customFormat="1">
      <c r="A69" s="320"/>
      <c r="B69" s="328"/>
    </row>
    <row r="70" spans="1:2" s="325" customFormat="1">
      <c r="A70" s="320"/>
      <c r="B70" s="328"/>
    </row>
    <row r="71" spans="1:2" s="325" customFormat="1">
      <c r="A71" s="320"/>
      <c r="B71" s="328"/>
    </row>
    <row r="72" spans="1:2" s="325" customFormat="1">
      <c r="A72" s="320"/>
      <c r="B72" s="328"/>
    </row>
    <row r="73" spans="1:2" s="325" customFormat="1">
      <c r="A73" s="320"/>
      <c r="B73" s="328"/>
    </row>
    <row r="74" spans="1:2" s="325" customFormat="1">
      <c r="A74" s="320"/>
      <c r="B74" s="328"/>
    </row>
    <row r="75" spans="1:2" s="325" customFormat="1">
      <c r="A75" s="320"/>
      <c r="B75" s="328"/>
    </row>
    <row r="76" spans="1:2" s="325" customFormat="1">
      <c r="A76" s="320"/>
      <c r="B76" s="328"/>
    </row>
    <row r="77" spans="1:2" s="325" customFormat="1">
      <c r="A77" s="320"/>
      <c r="B77" s="328"/>
    </row>
    <row r="78" spans="1:2" s="325" customFormat="1">
      <c r="A78" s="320"/>
      <c r="B78" s="328"/>
    </row>
    <row r="79" spans="1:2" s="325" customFormat="1">
      <c r="A79" s="320"/>
      <c r="B79" s="328"/>
    </row>
    <row r="83" spans="1:2" s="325" customFormat="1">
      <c r="A83" s="320"/>
      <c r="B83" s="328"/>
    </row>
    <row r="84" spans="1:2" s="325" customFormat="1">
      <c r="A84" s="320"/>
      <c r="B84" s="328"/>
    </row>
  </sheetData>
  <sheetProtection algorithmName="SHA-512" hashValue="ilnrlCacBtNR/FqpUtnz9gJ3dd54HD/f0lwZY7XdaxGNGdckfStQBjpD4EhhyKq09ohh9AY2sgj1QhOXBQ8wBg==" saltValue="+61V3cf8HMiJYYmfIv0CbQ==" spinCount="100000" sheet="1" objects="1" scenarios="1"/>
  <pageMargins left="0.78740157480314965" right="0.39370078740157483" top="0.78740157480314965" bottom="0.19685039370078741" header="0.31496062992125984" footer="0.31496062992125984"/>
  <pageSetup paperSize="9" orientation="portrait" r:id="rId1"/>
  <headerFooter>
    <oddHeader xml:space="preserve">&amp;L&amp;8Dienstleistungszentrum Ländlicher Raum (DLR) - Rheinpfalz, Breitenweg 71, 67435 Neustadt/Weinstraße
Alle Angaben ohne Gewähr. </oddHeader>
  </headerFooter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B3"/>
  <sheetViews>
    <sheetView workbookViewId="0">
      <selection activeCell="H22" sqref="H22"/>
    </sheetView>
  </sheetViews>
  <sheetFormatPr baseColWidth="10" defaultRowHeight="15"/>
  <cols>
    <col min="1" max="1" width="26.28515625" style="320" customWidth="1"/>
    <col min="2" max="2" width="20.140625" style="328" customWidth="1"/>
    <col min="3" max="16384" width="11.42578125" style="320"/>
  </cols>
  <sheetData>
    <row r="1" spans="1:2">
      <c r="A1" s="323" t="s">
        <v>3</v>
      </c>
      <c r="B1" s="327" t="s">
        <v>4</v>
      </c>
    </row>
    <row r="2" spans="1:2">
      <c r="A2" s="320" t="s">
        <v>6</v>
      </c>
      <c r="B2" s="328">
        <v>20</v>
      </c>
    </row>
    <row r="3" spans="1:2">
      <c r="A3" s="320" t="s">
        <v>5</v>
      </c>
      <c r="B3" s="328">
        <v>0</v>
      </c>
    </row>
  </sheetData>
  <sheetProtection algorithmName="SHA-512" hashValue="mQ04VR6zXx17t0OK2QDrqyd8F4+hP3D6z5L9E34w2fFrA8M9EgP3NyIv9t+Bv5dF+4CSbL4SjZAYyaIhdGu4Mw==" saltValue="Q+cgmDEu0m4Eyw7uXsxneQ==" spinCount="100000" sheet="1" objects="1" scenarios="1"/>
  <sortState ref="A2:D4">
    <sortCondition ref="A2:A4"/>
  </sortState>
  <customSheetViews>
    <customSheetView guid="{0E46878E-35A0-4520-9188-2905702DCB38}">
      <selection activeCell="D3" sqref="D3"/>
      <pageMargins left="0.7" right="0.7" top="0.78740157499999996" bottom="0.78740157499999996" header="0.3" footer="0.3"/>
    </customSheetView>
  </customSheetViews>
  <pageMargins left="0.78740157480314965" right="0.39370078740157483" top="0.78740157480314965" bottom="0.19685039370078741" header="0.31496062992125984" footer="0.31496062992125984"/>
  <pageSetup paperSize="9" orientation="portrait" r:id="rId1"/>
  <headerFooter>
    <oddHeader xml:space="preserve">&amp;L&amp;8Dienstleistungszentrum Ländlicher Raum (DLR) - Rheinpfalz, Breitenweg 71, 67435 Neustadt/Weinstraße
Alle Angaben ohne Gewähr. </oddHeader>
  </headerFooter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>
    <pageSetUpPr fitToPage="1"/>
  </sheetPr>
  <dimension ref="A1:Q541"/>
  <sheetViews>
    <sheetView showGridLines="0" topLeftCell="B1" workbookViewId="0">
      <pane ySplit="1" topLeftCell="A2" activePane="bottomLeft" state="frozen"/>
      <selection activeCell="N12" sqref="N12"/>
      <selection pane="bottomLeft" activeCell="E11" sqref="E11"/>
    </sheetView>
  </sheetViews>
  <sheetFormatPr baseColWidth="10" defaultRowHeight="12.75"/>
  <cols>
    <col min="1" max="1" width="6.28515625" style="3" hidden="1" customWidth="1"/>
    <col min="2" max="2" width="60.5703125" style="3" customWidth="1"/>
    <col min="3" max="3" width="11" style="335" customWidth="1"/>
    <col min="4" max="4" width="13.7109375" style="312" customWidth="1"/>
    <col min="5" max="5" width="14.7109375" style="312" customWidth="1"/>
    <col min="6" max="6" width="13.5703125" style="312" customWidth="1"/>
    <col min="7" max="7" width="14" style="312" customWidth="1"/>
    <col min="8" max="8" width="13.7109375" style="312" customWidth="1"/>
    <col min="9" max="9" width="12.7109375" style="312" customWidth="1"/>
    <col min="10" max="12" width="8.42578125" style="168" hidden="1" customWidth="1"/>
    <col min="13" max="13" width="17.140625" style="167" hidden="1" customWidth="1"/>
    <col min="14" max="14" width="16.5703125" style="167" hidden="1" customWidth="1"/>
    <col min="15" max="15" width="11.42578125" style="3"/>
    <col min="16" max="16" width="31.85546875" style="3" customWidth="1"/>
    <col min="17" max="17" width="12.42578125" style="167" customWidth="1"/>
    <col min="18" max="16384" width="11.42578125" style="3"/>
  </cols>
  <sheetData>
    <row r="1" spans="1:17" s="108" customFormat="1" ht="72.75" customHeight="1">
      <c r="A1" s="106" t="s">
        <v>9</v>
      </c>
      <c r="B1" s="187" t="s">
        <v>10</v>
      </c>
      <c r="C1" s="187" t="s">
        <v>1040</v>
      </c>
      <c r="D1" s="187" t="s">
        <v>2066</v>
      </c>
      <c r="E1" s="187" t="s">
        <v>2067</v>
      </c>
      <c r="F1" s="187" t="s">
        <v>2026</v>
      </c>
      <c r="G1" s="187" t="s">
        <v>2068</v>
      </c>
      <c r="H1" s="187" t="s">
        <v>2024</v>
      </c>
      <c r="I1" s="187" t="s">
        <v>2096</v>
      </c>
      <c r="J1" s="171" t="s">
        <v>1104</v>
      </c>
      <c r="K1" s="172" t="s">
        <v>2025</v>
      </c>
      <c r="L1" s="172" t="s">
        <v>12</v>
      </c>
      <c r="M1" s="161" t="s">
        <v>13</v>
      </c>
      <c r="N1" s="162" t="s">
        <v>1106</v>
      </c>
      <c r="P1" s="280" t="s">
        <v>1613</v>
      </c>
      <c r="Q1" s="281" t="s">
        <v>1610</v>
      </c>
    </row>
    <row r="2" spans="1:17" ht="15">
      <c r="A2" s="189"/>
      <c r="B2" s="282" t="s">
        <v>1615</v>
      </c>
      <c r="C2" s="283"/>
      <c r="D2" s="295"/>
      <c r="E2" s="295"/>
      <c r="F2" s="295"/>
      <c r="G2" s="295"/>
      <c r="H2" s="295"/>
      <c r="I2" s="295"/>
      <c r="J2" s="283"/>
      <c r="K2" s="283"/>
      <c r="L2" s="283"/>
      <c r="M2" s="283"/>
      <c r="N2" s="283"/>
      <c r="O2" s="5"/>
      <c r="P2" s="3" t="s">
        <v>1595</v>
      </c>
      <c r="Q2" s="167">
        <v>90</v>
      </c>
    </row>
    <row r="3" spans="1:17" ht="15">
      <c r="A3" s="189"/>
      <c r="B3" s="282" t="s">
        <v>1616</v>
      </c>
      <c r="C3" s="285"/>
      <c r="D3" s="296"/>
      <c r="E3" s="296"/>
      <c r="F3" s="296"/>
      <c r="G3" s="296"/>
      <c r="H3" s="296"/>
      <c r="I3" s="296"/>
      <c r="J3" s="285"/>
      <c r="K3" s="285"/>
      <c r="L3" s="285"/>
      <c r="M3" s="285"/>
      <c r="N3" s="285"/>
      <c r="P3" s="3" t="s">
        <v>1596</v>
      </c>
      <c r="Q3" s="167">
        <v>70</v>
      </c>
    </row>
    <row r="4" spans="1:17" ht="15">
      <c r="A4" s="53"/>
      <c r="B4" s="282" t="s">
        <v>1617</v>
      </c>
      <c r="C4" s="285"/>
      <c r="D4" s="296"/>
      <c r="E4" s="296"/>
      <c r="F4" s="296"/>
      <c r="G4" s="296"/>
      <c r="H4" s="296"/>
      <c r="I4" s="296"/>
      <c r="J4" s="285"/>
      <c r="K4" s="285"/>
      <c r="L4" s="285"/>
      <c r="M4" s="285"/>
      <c r="N4" s="285"/>
      <c r="P4" s="3" t="s">
        <v>1597</v>
      </c>
      <c r="Q4" s="167">
        <v>70</v>
      </c>
    </row>
    <row r="5" spans="1:17" ht="15">
      <c r="A5" s="53"/>
      <c r="B5" s="282" t="s">
        <v>1618</v>
      </c>
      <c r="C5" s="285"/>
      <c r="D5" s="296"/>
      <c r="E5" s="296"/>
      <c r="F5" s="296"/>
      <c r="G5" s="296"/>
      <c r="H5" s="296"/>
      <c r="I5" s="296"/>
      <c r="J5" s="285"/>
      <c r="K5" s="285"/>
      <c r="L5" s="285"/>
      <c r="M5" s="285"/>
      <c r="N5" s="285"/>
      <c r="P5" s="3" t="s">
        <v>800</v>
      </c>
      <c r="Q5" s="167">
        <v>70</v>
      </c>
    </row>
    <row r="6" spans="1:17" ht="15">
      <c r="A6" s="53"/>
      <c r="B6" s="282" t="s">
        <v>1619</v>
      </c>
      <c r="C6" s="285"/>
      <c r="D6" s="296"/>
      <c r="E6" s="296"/>
      <c r="F6" s="296"/>
      <c r="G6" s="296"/>
      <c r="H6" s="296"/>
      <c r="I6" s="296"/>
      <c r="J6" s="285"/>
      <c r="K6" s="285"/>
      <c r="L6" s="285"/>
      <c r="M6" s="285"/>
      <c r="N6" s="285"/>
      <c r="O6" s="5"/>
      <c r="P6" s="3" t="s">
        <v>1599</v>
      </c>
      <c r="Q6" s="167">
        <v>60</v>
      </c>
    </row>
    <row r="7" spans="1:17" ht="15">
      <c r="A7" s="4" t="s">
        <v>18</v>
      </c>
      <c r="B7" s="282" t="s">
        <v>1620</v>
      </c>
      <c r="C7" s="285"/>
      <c r="D7" s="296"/>
      <c r="E7" s="296"/>
      <c r="F7" s="296"/>
      <c r="G7" s="296"/>
      <c r="H7" s="296"/>
      <c r="I7" s="296"/>
      <c r="J7" s="285"/>
      <c r="K7" s="285"/>
      <c r="L7" s="285"/>
      <c r="M7" s="285"/>
      <c r="N7" s="285"/>
      <c r="P7" s="3" t="s">
        <v>806</v>
      </c>
      <c r="Q7" s="167">
        <v>60</v>
      </c>
    </row>
    <row r="8" spans="1:17" ht="15">
      <c r="A8" s="4" t="s">
        <v>19</v>
      </c>
      <c r="B8" s="282" t="s">
        <v>1621</v>
      </c>
      <c r="C8" s="285"/>
      <c r="D8" s="296"/>
      <c r="E8" s="296"/>
      <c r="F8" s="296"/>
      <c r="G8" s="296"/>
      <c r="H8" s="296"/>
      <c r="I8" s="296"/>
      <c r="J8" s="285"/>
      <c r="K8" s="285"/>
      <c r="L8" s="285"/>
      <c r="M8" s="285"/>
      <c r="N8" s="285"/>
      <c r="P8" s="3" t="s">
        <v>1598</v>
      </c>
      <c r="Q8" s="167">
        <v>45</v>
      </c>
    </row>
    <row r="9" spans="1:17" ht="15">
      <c r="A9" s="4" t="s">
        <v>789</v>
      </c>
      <c r="B9" s="282" t="s">
        <v>1622</v>
      </c>
      <c r="C9" s="285"/>
      <c r="D9" s="296"/>
      <c r="E9" s="296"/>
      <c r="F9" s="296"/>
      <c r="G9" s="296"/>
      <c r="H9" s="296"/>
      <c r="I9" s="296"/>
      <c r="J9" s="285"/>
      <c r="K9" s="285"/>
      <c r="L9" s="285"/>
      <c r="M9" s="285"/>
      <c r="N9" s="285"/>
      <c r="P9" s="3" t="s">
        <v>1606</v>
      </c>
      <c r="Q9" s="167">
        <v>30</v>
      </c>
    </row>
    <row r="10" spans="1:17" ht="15">
      <c r="A10" s="4" t="s">
        <v>674</v>
      </c>
      <c r="B10" s="282" t="s">
        <v>1623</v>
      </c>
      <c r="C10" s="285"/>
      <c r="D10" s="296"/>
      <c r="E10" s="296"/>
      <c r="F10" s="296"/>
      <c r="G10" s="296"/>
      <c r="H10" s="296"/>
      <c r="I10" s="296"/>
      <c r="J10" s="285"/>
      <c r="K10" s="285"/>
      <c r="L10" s="285"/>
      <c r="M10" s="285"/>
      <c r="N10" s="285"/>
      <c r="P10" s="3" t="s">
        <v>1605</v>
      </c>
      <c r="Q10" s="167">
        <v>30</v>
      </c>
    </row>
    <row r="11" spans="1:17" ht="15">
      <c r="A11" s="4" t="s">
        <v>137</v>
      </c>
      <c r="B11" s="282" t="s">
        <v>1624</v>
      </c>
      <c r="C11" s="287"/>
      <c r="D11" s="297"/>
      <c r="E11" s="297"/>
      <c r="F11" s="297"/>
      <c r="G11" s="297"/>
      <c r="H11" s="297"/>
      <c r="I11" s="297"/>
      <c r="J11" s="287"/>
      <c r="K11" s="287"/>
      <c r="L11" s="287"/>
      <c r="M11" s="287"/>
      <c r="N11" s="287"/>
      <c r="P11" s="3" t="s">
        <v>1600</v>
      </c>
      <c r="Q11" s="167">
        <v>30</v>
      </c>
    </row>
    <row r="12" spans="1:17" ht="15">
      <c r="A12" s="4" t="s">
        <v>101</v>
      </c>
      <c r="B12" s="4" t="s">
        <v>1713</v>
      </c>
      <c r="C12" s="330" t="s">
        <v>816</v>
      </c>
      <c r="D12" s="331">
        <v>38.93</v>
      </c>
      <c r="E12" s="331">
        <v>0.26</v>
      </c>
      <c r="F12" s="331">
        <v>13.04</v>
      </c>
      <c r="G12" s="331">
        <v>14.79</v>
      </c>
      <c r="H12" s="331">
        <v>2.88</v>
      </c>
      <c r="I12" s="331">
        <v>30</v>
      </c>
      <c r="J12" s="165" t="s">
        <v>1105</v>
      </c>
      <c r="K12" s="165">
        <v>9.4677913</v>
      </c>
      <c r="L12" s="165">
        <v>3</v>
      </c>
      <c r="M12" s="169">
        <v>15</v>
      </c>
      <c r="N12" s="169" t="s">
        <v>817</v>
      </c>
      <c r="P12" s="3" t="s">
        <v>1602</v>
      </c>
      <c r="Q12" s="167">
        <v>30</v>
      </c>
    </row>
    <row r="13" spans="1:17" ht="15">
      <c r="A13" s="4" t="s">
        <v>103</v>
      </c>
      <c r="B13" s="4" t="s">
        <v>1714</v>
      </c>
      <c r="C13" s="330" t="s">
        <v>816</v>
      </c>
      <c r="D13" s="331">
        <v>38.93</v>
      </c>
      <c r="E13" s="331">
        <v>0.26</v>
      </c>
      <c r="F13" s="331">
        <v>13.04</v>
      </c>
      <c r="G13" s="331">
        <v>14.79</v>
      </c>
      <c r="H13" s="331">
        <v>2.88</v>
      </c>
      <c r="I13" s="331">
        <v>30</v>
      </c>
      <c r="J13" s="165" t="s">
        <v>1105</v>
      </c>
      <c r="K13" s="165">
        <v>9.4677913</v>
      </c>
      <c r="L13" s="165">
        <v>3</v>
      </c>
      <c r="M13" s="169">
        <v>15</v>
      </c>
      <c r="N13" s="169" t="s">
        <v>817</v>
      </c>
      <c r="P13" s="3" t="s">
        <v>1603</v>
      </c>
      <c r="Q13" s="167">
        <v>30</v>
      </c>
    </row>
    <row r="14" spans="1:17" ht="15">
      <c r="A14" s="4" t="s">
        <v>761</v>
      </c>
      <c r="B14" s="4" t="s">
        <v>1715</v>
      </c>
      <c r="C14" s="330" t="s">
        <v>816</v>
      </c>
      <c r="D14" s="331">
        <v>38.93</v>
      </c>
      <c r="E14" s="331">
        <v>0.26</v>
      </c>
      <c r="F14" s="331">
        <v>13.04</v>
      </c>
      <c r="G14" s="331">
        <v>14.79</v>
      </c>
      <c r="H14" s="331">
        <v>2.88</v>
      </c>
      <c r="I14" s="331">
        <v>30</v>
      </c>
      <c r="J14" s="165" t="s">
        <v>1105</v>
      </c>
      <c r="K14" s="165">
        <v>9.4677913</v>
      </c>
      <c r="L14" s="165">
        <v>3</v>
      </c>
      <c r="M14" s="169">
        <v>15</v>
      </c>
      <c r="N14" s="169" t="s">
        <v>817</v>
      </c>
      <c r="P14" s="3" t="s">
        <v>1604</v>
      </c>
      <c r="Q14" s="167">
        <v>30</v>
      </c>
    </row>
    <row r="15" spans="1:17" ht="15">
      <c r="A15" s="4" t="s">
        <v>275</v>
      </c>
      <c r="B15" s="4" t="s">
        <v>1716</v>
      </c>
      <c r="C15" s="330" t="s">
        <v>816</v>
      </c>
      <c r="D15" s="331">
        <v>42</v>
      </c>
      <c r="E15" s="331">
        <v>0</v>
      </c>
      <c r="F15" s="331">
        <v>10.77</v>
      </c>
      <c r="G15" s="331">
        <v>13.62</v>
      </c>
      <c r="H15" s="331">
        <v>2.65</v>
      </c>
      <c r="I15" s="331">
        <v>30</v>
      </c>
      <c r="J15" s="165" t="s">
        <v>1105</v>
      </c>
      <c r="K15" s="165">
        <v>7.99994476</v>
      </c>
      <c r="L15" s="165">
        <v>3</v>
      </c>
      <c r="M15" s="169">
        <v>15</v>
      </c>
      <c r="N15" s="169" t="s">
        <v>817</v>
      </c>
      <c r="P15" s="3" t="s">
        <v>1601</v>
      </c>
      <c r="Q15" s="167">
        <v>25</v>
      </c>
    </row>
    <row r="16" spans="1:17" ht="15">
      <c r="A16" s="4" t="s">
        <v>277</v>
      </c>
      <c r="B16" s="4" t="s">
        <v>138</v>
      </c>
      <c r="C16" s="330" t="s">
        <v>816</v>
      </c>
      <c r="D16" s="331">
        <v>36</v>
      </c>
      <c r="E16" s="331">
        <v>8.2799999999999994</v>
      </c>
      <c r="F16" s="331">
        <v>28</v>
      </c>
      <c r="G16" s="331">
        <v>22</v>
      </c>
      <c r="H16" s="331">
        <v>15</v>
      </c>
      <c r="I16" s="331"/>
      <c r="J16" s="165" t="s">
        <v>1105</v>
      </c>
      <c r="K16" s="165">
        <v>12.9736209</v>
      </c>
      <c r="L16" s="165">
        <v>3</v>
      </c>
      <c r="M16" s="169">
        <v>25</v>
      </c>
      <c r="N16" s="169" t="s">
        <v>817</v>
      </c>
      <c r="P16" s="3" t="s">
        <v>1607</v>
      </c>
      <c r="Q16" s="167">
        <v>25</v>
      </c>
    </row>
    <row r="17" spans="1:17" ht="15">
      <c r="A17" s="4" t="s">
        <v>279</v>
      </c>
      <c r="B17" s="4" t="s">
        <v>102</v>
      </c>
      <c r="C17" s="330" t="s">
        <v>816</v>
      </c>
      <c r="D17" s="331">
        <v>84</v>
      </c>
      <c r="E17" s="331">
        <v>8.4</v>
      </c>
      <c r="F17" s="331">
        <v>0</v>
      </c>
      <c r="G17" s="331">
        <v>0</v>
      </c>
      <c r="H17" s="331">
        <v>0</v>
      </c>
      <c r="I17" s="331"/>
      <c r="J17" s="165" t="s">
        <v>1105</v>
      </c>
      <c r="K17" s="165">
        <v>4.6342331699999999</v>
      </c>
      <c r="L17" s="165">
        <v>1.5</v>
      </c>
      <c r="M17" s="169">
        <v>25</v>
      </c>
      <c r="N17" s="169" t="s">
        <v>817</v>
      </c>
      <c r="P17" s="3" t="s">
        <v>1608</v>
      </c>
      <c r="Q17" s="167">
        <v>25</v>
      </c>
    </row>
    <row r="18" spans="1:17" ht="15">
      <c r="A18" s="4" t="s">
        <v>281</v>
      </c>
      <c r="B18" s="4" t="s">
        <v>104</v>
      </c>
      <c r="C18" s="330" t="s">
        <v>816</v>
      </c>
      <c r="D18" s="331">
        <v>30</v>
      </c>
      <c r="E18" s="331">
        <v>3</v>
      </c>
      <c r="F18" s="331">
        <v>30</v>
      </c>
      <c r="G18" s="331">
        <v>30</v>
      </c>
      <c r="H18" s="331">
        <v>0</v>
      </c>
      <c r="I18" s="331"/>
      <c r="J18" s="165" t="s">
        <v>1105</v>
      </c>
      <c r="K18" s="165">
        <v>6.4449600399999998</v>
      </c>
      <c r="L18" s="165">
        <v>1.5</v>
      </c>
      <c r="M18" s="169">
        <v>25</v>
      </c>
      <c r="N18" s="169" t="s">
        <v>817</v>
      </c>
      <c r="P18" s="3" t="s">
        <v>1609</v>
      </c>
      <c r="Q18" s="167">
        <v>10</v>
      </c>
    </row>
    <row r="19" spans="1:17" ht="15">
      <c r="A19" s="4" t="s">
        <v>283</v>
      </c>
      <c r="B19" s="4" t="s">
        <v>762</v>
      </c>
      <c r="C19" s="330" t="s">
        <v>814</v>
      </c>
      <c r="D19" s="331">
        <v>5</v>
      </c>
      <c r="E19" s="331">
        <v>0.05</v>
      </c>
      <c r="F19" s="331">
        <v>0</v>
      </c>
      <c r="G19" s="331">
        <v>0</v>
      </c>
      <c r="H19" s="331">
        <v>0</v>
      </c>
      <c r="I19" s="331"/>
      <c r="J19" s="165" t="s">
        <v>1105</v>
      </c>
      <c r="K19" s="165">
        <v>4.1013382099999998</v>
      </c>
      <c r="L19" s="165">
        <v>1.5</v>
      </c>
      <c r="M19" s="169">
        <v>25</v>
      </c>
      <c r="N19" s="169" t="s">
        <v>818</v>
      </c>
      <c r="P19" s="3" t="s">
        <v>1103</v>
      </c>
      <c r="Q19" s="167">
        <v>10</v>
      </c>
    </row>
    <row r="20" spans="1:17" ht="15">
      <c r="A20" s="4" t="s">
        <v>320</v>
      </c>
      <c r="B20" s="4" t="s">
        <v>276</v>
      </c>
      <c r="C20" s="330" t="s">
        <v>814</v>
      </c>
      <c r="D20" s="331">
        <v>15</v>
      </c>
      <c r="E20" s="331">
        <v>3.75</v>
      </c>
      <c r="F20" s="331">
        <v>6</v>
      </c>
      <c r="G20" s="331">
        <v>41</v>
      </c>
      <c r="H20" s="331">
        <v>4</v>
      </c>
      <c r="I20" s="331"/>
      <c r="J20" s="165" t="s">
        <v>1105</v>
      </c>
      <c r="K20" s="165">
        <v>12.889920099999999</v>
      </c>
      <c r="L20" s="165">
        <v>3</v>
      </c>
      <c r="M20" s="169">
        <v>25</v>
      </c>
      <c r="N20" s="169" t="s">
        <v>817</v>
      </c>
      <c r="P20" s="305" t="s">
        <v>1710</v>
      </c>
      <c r="Q20" s="306">
        <v>50</v>
      </c>
    </row>
    <row r="21" spans="1:17" ht="15">
      <c r="A21" s="4" t="s">
        <v>139</v>
      </c>
      <c r="B21" s="4" t="s">
        <v>278</v>
      </c>
      <c r="C21" s="330" t="s">
        <v>814</v>
      </c>
      <c r="D21" s="331">
        <v>30</v>
      </c>
      <c r="E21" s="331">
        <v>1.2</v>
      </c>
      <c r="F21" s="331">
        <v>50</v>
      </c>
      <c r="G21" s="331">
        <v>60</v>
      </c>
      <c r="H21" s="331">
        <v>1.5</v>
      </c>
      <c r="I21" s="331"/>
      <c r="J21" s="165" t="s">
        <v>1105</v>
      </c>
      <c r="K21" s="165">
        <v>5.2083333300000003</v>
      </c>
      <c r="L21" s="165">
        <v>2</v>
      </c>
      <c r="M21" s="169">
        <v>15</v>
      </c>
      <c r="N21" s="169" t="s">
        <v>817</v>
      </c>
      <c r="P21" s="305" t="s">
        <v>1711</v>
      </c>
      <c r="Q21" s="306">
        <v>50</v>
      </c>
    </row>
    <row r="22" spans="1:17" ht="15">
      <c r="A22" s="4" t="s">
        <v>141</v>
      </c>
      <c r="B22" s="4" t="s">
        <v>280</v>
      </c>
      <c r="C22" s="330" t="s">
        <v>814</v>
      </c>
      <c r="D22" s="331">
        <v>70</v>
      </c>
      <c r="E22" s="331">
        <v>0.35</v>
      </c>
      <c r="F22" s="331">
        <v>10</v>
      </c>
      <c r="G22" s="331">
        <v>20</v>
      </c>
      <c r="H22" s="331">
        <v>1.5</v>
      </c>
      <c r="I22" s="331"/>
      <c r="J22" s="165" t="s">
        <v>1105</v>
      </c>
      <c r="K22" s="165">
        <v>4.3072505400000001</v>
      </c>
      <c r="L22" s="165">
        <v>3</v>
      </c>
      <c r="M22" s="169">
        <v>15</v>
      </c>
      <c r="N22" s="169" t="s">
        <v>817</v>
      </c>
      <c r="P22" s="3" t="s">
        <v>1712</v>
      </c>
      <c r="Q22" s="167">
        <v>60</v>
      </c>
    </row>
    <row r="23" spans="1:17" ht="15">
      <c r="A23" s="4" t="s">
        <v>285</v>
      </c>
      <c r="B23" s="4" t="s">
        <v>282</v>
      </c>
      <c r="C23" s="330" t="s">
        <v>814</v>
      </c>
      <c r="D23" s="331">
        <v>70</v>
      </c>
      <c r="E23" s="331">
        <v>0.35</v>
      </c>
      <c r="F23" s="331">
        <v>0</v>
      </c>
      <c r="G23" s="331">
        <v>0</v>
      </c>
      <c r="H23" s="331">
        <v>0</v>
      </c>
      <c r="I23" s="331"/>
      <c r="J23" s="165" t="s">
        <v>1105</v>
      </c>
      <c r="K23" s="165">
        <v>4.3072505400000001</v>
      </c>
      <c r="L23" s="165">
        <v>3</v>
      </c>
      <c r="M23" s="169">
        <v>15</v>
      </c>
      <c r="N23" s="169" t="s">
        <v>817</v>
      </c>
    </row>
    <row r="24" spans="1:17" ht="15">
      <c r="A24" s="4" t="s">
        <v>453</v>
      </c>
      <c r="B24" s="4" t="s">
        <v>284</v>
      </c>
      <c r="C24" s="330" t="s">
        <v>814</v>
      </c>
      <c r="D24" s="331">
        <v>50</v>
      </c>
      <c r="E24" s="331">
        <v>0.25</v>
      </c>
      <c r="F24" s="331">
        <v>0</v>
      </c>
      <c r="G24" s="331">
        <v>0</v>
      </c>
      <c r="H24" s="331">
        <v>0</v>
      </c>
      <c r="I24" s="331"/>
      <c r="J24" s="165" t="s">
        <v>1105</v>
      </c>
      <c r="K24" s="165">
        <v>6.0301507499999998</v>
      </c>
      <c r="L24" s="165">
        <v>3</v>
      </c>
      <c r="M24" s="169">
        <v>15</v>
      </c>
      <c r="N24" s="169" t="s">
        <v>817</v>
      </c>
    </row>
    <row r="25" spans="1:17" ht="15">
      <c r="A25" s="4" t="s">
        <v>763</v>
      </c>
      <c r="B25" s="4" t="s">
        <v>321</v>
      </c>
      <c r="C25" s="330" t="s">
        <v>814</v>
      </c>
      <c r="D25" s="331">
        <v>9.5</v>
      </c>
      <c r="E25" s="331">
        <v>0.48</v>
      </c>
      <c r="F25" s="331">
        <v>0</v>
      </c>
      <c r="G25" s="331">
        <v>11</v>
      </c>
      <c r="H25" s="331">
        <v>0</v>
      </c>
      <c r="I25" s="331"/>
      <c r="J25" s="165" t="s">
        <v>1105</v>
      </c>
      <c r="K25" s="165">
        <v>22.507343800000001</v>
      </c>
      <c r="L25" s="165">
        <v>1.5</v>
      </c>
      <c r="M25" s="169">
        <v>50</v>
      </c>
      <c r="N25" s="169" t="s">
        <v>817</v>
      </c>
    </row>
    <row r="26" spans="1:17" ht="15">
      <c r="A26" s="4" t="s">
        <v>143</v>
      </c>
      <c r="B26" s="4" t="s">
        <v>140</v>
      </c>
      <c r="C26" s="330" t="s">
        <v>816</v>
      </c>
      <c r="D26" s="331">
        <v>70</v>
      </c>
      <c r="E26" s="331">
        <v>2.8</v>
      </c>
      <c r="F26" s="331">
        <v>30</v>
      </c>
      <c r="G26" s="331">
        <v>70</v>
      </c>
      <c r="H26" s="331">
        <v>0</v>
      </c>
      <c r="I26" s="331"/>
      <c r="J26" s="165" t="s">
        <v>1105</v>
      </c>
      <c r="K26" s="165">
        <v>5.1789857499999998</v>
      </c>
      <c r="L26" s="165">
        <v>2</v>
      </c>
      <c r="M26" s="169">
        <v>15</v>
      </c>
      <c r="N26" s="169" t="s">
        <v>817</v>
      </c>
    </row>
    <row r="27" spans="1:17" ht="15">
      <c r="A27" s="4" t="s">
        <v>145</v>
      </c>
      <c r="B27" s="4" t="s">
        <v>142</v>
      </c>
      <c r="C27" s="330" t="s">
        <v>816</v>
      </c>
      <c r="D27" s="331">
        <v>70</v>
      </c>
      <c r="E27" s="331">
        <v>2.8</v>
      </c>
      <c r="F27" s="331">
        <v>30</v>
      </c>
      <c r="G27" s="331">
        <v>70</v>
      </c>
      <c r="H27" s="331">
        <v>10</v>
      </c>
      <c r="I27" s="331"/>
      <c r="J27" s="165" t="s">
        <v>1105</v>
      </c>
      <c r="K27" s="165">
        <v>5.1789857499999998</v>
      </c>
      <c r="L27" s="165">
        <v>2</v>
      </c>
      <c r="M27" s="169">
        <v>15</v>
      </c>
      <c r="N27" s="169" t="s">
        <v>817</v>
      </c>
    </row>
    <row r="28" spans="1:17" ht="15">
      <c r="A28" s="4" t="s">
        <v>147</v>
      </c>
      <c r="B28" s="4" t="s">
        <v>286</v>
      </c>
      <c r="C28" s="330" t="s">
        <v>814</v>
      </c>
      <c r="D28" s="331">
        <v>70</v>
      </c>
      <c r="E28" s="331">
        <v>7</v>
      </c>
      <c r="F28" s="331">
        <v>20</v>
      </c>
      <c r="G28" s="331">
        <v>30</v>
      </c>
      <c r="H28" s="331">
        <v>0</v>
      </c>
      <c r="I28" s="331"/>
      <c r="J28" s="165" t="s">
        <v>1105</v>
      </c>
      <c r="K28" s="165">
        <v>5</v>
      </c>
      <c r="L28" s="165">
        <v>1.5</v>
      </c>
      <c r="M28" s="169">
        <v>25</v>
      </c>
      <c r="N28" s="169" t="s">
        <v>817</v>
      </c>
    </row>
    <row r="29" spans="1:17" ht="15">
      <c r="A29" s="4" t="s">
        <v>149</v>
      </c>
      <c r="B29" s="4" t="s">
        <v>1717</v>
      </c>
      <c r="C29" s="330" t="s">
        <v>814</v>
      </c>
      <c r="D29" s="331">
        <v>25</v>
      </c>
      <c r="E29" s="331">
        <v>0</v>
      </c>
      <c r="F29" s="331">
        <v>2</v>
      </c>
      <c r="G29" s="331">
        <v>30</v>
      </c>
      <c r="H29" s="331">
        <v>0</v>
      </c>
      <c r="I29" s="331"/>
      <c r="J29" s="165" t="s">
        <v>1105</v>
      </c>
      <c r="K29" s="165">
        <v>14</v>
      </c>
      <c r="L29" s="165">
        <v>5</v>
      </c>
      <c r="M29" s="169">
        <v>200</v>
      </c>
      <c r="N29" s="169" t="s">
        <v>817</v>
      </c>
    </row>
    <row r="30" spans="1:17" ht="15">
      <c r="A30" s="4" t="s">
        <v>151</v>
      </c>
      <c r="B30" s="4" t="s">
        <v>764</v>
      </c>
      <c r="C30" s="330" t="s">
        <v>816</v>
      </c>
      <c r="D30" s="331">
        <v>7</v>
      </c>
      <c r="E30" s="331">
        <v>7.0000000000000007E-2</v>
      </c>
      <c r="F30" s="331">
        <v>5</v>
      </c>
      <c r="G30" s="331">
        <v>35</v>
      </c>
      <c r="H30" s="331">
        <v>38</v>
      </c>
      <c r="I30" s="331"/>
      <c r="J30" s="165" t="s">
        <v>1105</v>
      </c>
      <c r="K30" s="165">
        <v>41.850389900000003</v>
      </c>
      <c r="L30" s="165">
        <v>1.5</v>
      </c>
      <c r="M30" s="169">
        <v>100</v>
      </c>
      <c r="N30" s="169" t="s">
        <v>817</v>
      </c>
    </row>
    <row r="31" spans="1:17" ht="15">
      <c r="A31" s="4" t="s">
        <v>588</v>
      </c>
      <c r="B31" s="4" t="s">
        <v>144</v>
      </c>
      <c r="C31" s="330" t="s">
        <v>816</v>
      </c>
      <c r="D31" s="331">
        <v>70</v>
      </c>
      <c r="E31" s="331">
        <v>2.8</v>
      </c>
      <c r="F31" s="331">
        <v>30</v>
      </c>
      <c r="G31" s="331">
        <v>100</v>
      </c>
      <c r="H31" s="331">
        <v>3</v>
      </c>
      <c r="I31" s="331"/>
      <c r="J31" s="165" t="s">
        <v>1105</v>
      </c>
      <c r="K31" s="165">
        <v>5.1789857499999998</v>
      </c>
      <c r="L31" s="165">
        <v>2</v>
      </c>
      <c r="M31" s="169">
        <v>15</v>
      </c>
      <c r="N31" s="169" t="s">
        <v>817</v>
      </c>
    </row>
    <row r="32" spans="1:17" ht="15">
      <c r="A32" s="4" t="s">
        <v>38</v>
      </c>
      <c r="B32" s="4" t="s">
        <v>146</v>
      </c>
      <c r="C32" s="330" t="s">
        <v>816</v>
      </c>
      <c r="D32" s="331">
        <v>90</v>
      </c>
      <c r="E32" s="331">
        <v>3.6</v>
      </c>
      <c r="F32" s="331">
        <v>30</v>
      </c>
      <c r="G32" s="331">
        <v>50</v>
      </c>
      <c r="H32" s="331">
        <v>0</v>
      </c>
      <c r="I32" s="331"/>
      <c r="J32" s="165" t="s">
        <v>1105</v>
      </c>
      <c r="K32" s="165">
        <v>4.0281000300000001</v>
      </c>
      <c r="L32" s="165">
        <v>2</v>
      </c>
      <c r="M32" s="169">
        <v>15</v>
      </c>
      <c r="N32" s="169" t="s">
        <v>817</v>
      </c>
    </row>
    <row r="33" spans="1:14" ht="15">
      <c r="A33" s="4" t="s">
        <v>322</v>
      </c>
      <c r="B33" s="4" t="s">
        <v>148</v>
      </c>
      <c r="C33" s="330" t="s">
        <v>816</v>
      </c>
      <c r="D33" s="331">
        <v>70</v>
      </c>
      <c r="E33" s="331">
        <v>2.8</v>
      </c>
      <c r="F33" s="331">
        <v>30</v>
      </c>
      <c r="G33" s="331">
        <v>50</v>
      </c>
      <c r="H33" s="331">
        <v>0</v>
      </c>
      <c r="I33" s="331"/>
      <c r="J33" s="165" t="s">
        <v>1105</v>
      </c>
      <c r="K33" s="165">
        <v>6.0421500400000001</v>
      </c>
      <c r="L33" s="165">
        <v>2</v>
      </c>
      <c r="M33" s="169">
        <v>15</v>
      </c>
      <c r="N33" s="169" t="s">
        <v>817</v>
      </c>
    </row>
    <row r="34" spans="1:14" ht="15">
      <c r="A34" s="4" t="s">
        <v>153</v>
      </c>
      <c r="B34" s="4" t="s">
        <v>150</v>
      </c>
      <c r="C34" s="330" t="s">
        <v>816</v>
      </c>
      <c r="D34" s="331">
        <v>70</v>
      </c>
      <c r="E34" s="331">
        <v>2.8</v>
      </c>
      <c r="F34" s="331">
        <v>70</v>
      </c>
      <c r="G34" s="331">
        <v>50</v>
      </c>
      <c r="H34" s="331">
        <v>0</v>
      </c>
      <c r="I34" s="331"/>
      <c r="J34" s="165" t="s">
        <v>1105</v>
      </c>
      <c r="K34" s="165">
        <v>6.0421500400000001</v>
      </c>
      <c r="L34" s="165">
        <v>2</v>
      </c>
      <c r="M34" s="169">
        <v>15</v>
      </c>
      <c r="N34" s="169" t="s">
        <v>817</v>
      </c>
    </row>
    <row r="35" spans="1:14" ht="15">
      <c r="A35" s="4" t="s">
        <v>155</v>
      </c>
      <c r="B35" s="4" t="s">
        <v>152</v>
      </c>
      <c r="C35" s="330" t="s">
        <v>816</v>
      </c>
      <c r="D35" s="331">
        <v>13.8</v>
      </c>
      <c r="E35" s="331">
        <v>0.69</v>
      </c>
      <c r="F35" s="331">
        <v>12.2</v>
      </c>
      <c r="G35" s="331">
        <v>11.7</v>
      </c>
      <c r="H35" s="331">
        <v>7.2</v>
      </c>
      <c r="I35" s="331"/>
      <c r="J35" s="165" t="s">
        <v>1105</v>
      </c>
      <c r="K35" s="165">
        <v>19.4676139</v>
      </c>
      <c r="L35" s="165">
        <v>5</v>
      </c>
      <c r="M35" s="169">
        <v>200</v>
      </c>
      <c r="N35" s="169" t="s">
        <v>817</v>
      </c>
    </row>
    <row r="36" spans="1:14" ht="15">
      <c r="A36" s="4" t="s">
        <v>492</v>
      </c>
      <c r="B36" s="4" t="s">
        <v>1718</v>
      </c>
      <c r="C36" s="330" t="s">
        <v>816</v>
      </c>
      <c r="D36" s="331">
        <v>11.3</v>
      </c>
      <c r="E36" s="331">
        <v>0</v>
      </c>
      <c r="F36" s="331">
        <v>3.8</v>
      </c>
      <c r="G36" s="331">
        <v>3.1</v>
      </c>
      <c r="H36" s="331">
        <v>0</v>
      </c>
      <c r="I36" s="331"/>
      <c r="J36" s="165" t="s">
        <v>1105</v>
      </c>
      <c r="K36" s="165">
        <v>9.9998973400000004</v>
      </c>
      <c r="L36" s="165">
        <v>5</v>
      </c>
      <c r="M36" s="169">
        <v>50</v>
      </c>
      <c r="N36" s="169" t="s">
        <v>817</v>
      </c>
    </row>
    <row r="37" spans="1:14" ht="15">
      <c r="A37" s="4" t="s">
        <v>105</v>
      </c>
      <c r="B37" s="4" t="s">
        <v>1719</v>
      </c>
      <c r="C37" s="330" t="s">
        <v>816</v>
      </c>
      <c r="D37" s="331">
        <v>43.65</v>
      </c>
      <c r="E37" s="331">
        <v>0</v>
      </c>
      <c r="F37" s="331">
        <v>17.53</v>
      </c>
      <c r="G37" s="331">
        <v>10.3</v>
      </c>
      <c r="H37" s="331">
        <v>4.78</v>
      </c>
      <c r="I37" s="331"/>
      <c r="J37" s="165" t="s">
        <v>1105</v>
      </c>
      <c r="K37" s="165">
        <v>10.0824423</v>
      </c>
      <c r="L37" s="165">
        <v>5</v>
      </c>
      <c r="M37" s="169">
        <v>50</v>
      </c>
      <c r="N37" s="169" t="s">
        <v>817</v>
      </c>
    </row>
    <row r="38" spans="1:14" ht="15">
      <c r="A38" s="4" t="s">
        <v>498</v>
      </c>
      <c r="B38" s="4" t="s">
        <v>323</v>
      </c>
      <c r="C38" s="330" t="s">
        <v>816</v>
      </c>
      <c r="D38" s="331">
        <v>120</v>
      </c>
      <c r="E38" s="331">
        <v>3</v>
      </c>
      <c r="F38" s="331">
        <v>0</v>
      </c>
      <c r="G38" s="331">
        <v>0</v>
      </c>
      <c r="H38" s="331">
        <v>0</v>
      </c>
      <c r="I38" s="331"/>
      <c r="J38" s="165" t="s">
        <v>1105</v>
      </c>
      <c r="K38" s="165">
        <v>4.2140123300000001</v>
      </c>
      <c r="L38" s="165">
        <v>3</v>
      </c>
      <c r="M38" s="169">
        <v>25</v>
      </c>
      <c r="N38" s="169" t="s">
        <v>817</v>
      </c>
    </row>
    <row r="39" spans="1:14" ht="15">
      <c r="A39" s="4" t="s">
        <v>500</v>
      </c>
      <c r="B39" s="4" t="s">
        <v>154</v>
      </c>
      <c r="C39" s="330" t="s">
        <v>816</v>
      </c>
      <c r="D39" s="331">
        <v>35</v>
      </c>
      <c r="E39" s="331">
        <v>0.18</v>
      </c>
      <c r="F39" s="331">
        <v>5</v>
      </c>
      <c r="G39" s="331">
        <v>10</v>
      </c>
      <c r="H39" s="331">
        <v>0</v>
      </c>
      <c r="I39" s="331"/>
      <c r="J39" s="165" t="s">
        <v>1105</v>
      </c>
      <c r="K39" s="165">
        <v>7.0361861000000001</v>
      </c>
      <c r="L39" s="165">
        <v>6</v>
      </c>
      <c r="M39" s="169">
        <v>25</v>
      </c>
      <c r="N39" s="169" t="s">
        <v>817</v>
      </c>
    </row>
    <row r="40" spans="1:14" ht="15">
      <c r="A40" s="4" t="s">
        <v>490</v>
      </c>
      <c r="B40" s="4" t="s">
        <v>156</v>
      </c>
      <c r="C40" s="330" t="s">
        <v>816</v>
      </c>
      <c r="D40" s="331">
        <v>60</v>
      </c>
      <c r="E40" s="331">
        <v>0</v>
      </c>
      <c r="F40" s="331">
        <v>30</v>
      </c>
      <c r="G40" s="331">
        <v>20</v>
      </c>
      <c r="H40" s="331">
        <v>0</v>
      </c>
      <c r="I40" s="331"/>
      <c r="J40" s="165" t="s">
        <v>1105</v>
      </c>
      <c r="K40" s="165">
        <v>8.2173240500000002</v>
      </c>
      <c r="L40" s="165">
        <v>3</v>
      </c>
      <c r="M40" s="169">
        <v>25</v>
      </c>
      <c r="N40" s="169" t="s">
        <v>817</v>
      </c>
    </row>
    <row r="41" spans="1:14" ht="15">
      <c r="A41" s="4" t="s">
        <v>494</v>
      </c>
      <c r="B41" s="4" t="s">
        <v>493</v>
      </c>
      <c r="C41" s="330" t="s">
        <v>814</v>
      </c>
      <c r="D41" s="331">
        <v>28</v>
      </c>
      <c r="E41" s="331">
        <v>2.8</v>
      </c>
      <c r="F41" s="331">
        <v>0</v>
      </c>
      <c r="G41" s="331">
        <v>0</v>
      </c>
      <c r="H41" s="331">
        <v>0</v>
      </c>
      <c r="I41" s="331"/>
      <c r="J41" s="165" t="s">
        <v>1105</v>
      </c>
      <c r="K41" s="165">
        <v>2.62380952</v>
      </c>
      <c r="L41" s="165">
        <v>1.5</v>
      </c>
      <c r="M41" s="169">
        <v>25</v>
      </c>
      <c r="N41" s="169" t="s">
        <v>818</v>
      </c>
    </row>
    <row r="42" spans="1:14" ht="15">
      <c r="A42" s="4" t="s">
        <v>496</v>
      </c>
      <c r="B42" s="4" t="s">
        <v>106</v>
      </c>
      <c r="C42" s="330" t="s">
        <v>816</v>
      </c>
      <c r="D42" s="331">
        <v>64</v>
      </c>
      <c r="E42" s="331">
        <v>0</v>
      </c>
      <c r="F42" s="331">
        <v>13</v>
      </c>
      <c r="G42" s="331">
        <v>45</v>
      </c>
      <c r="H42" s="331">
        <v>10</v>
      </c>
      <c r="I42" s="331"/>
      <c r="J42" s="165" t="s">
        <v>1105</v>
      </c>
      <c r="K42" s="165">
        <v>4.3503480300000001</v>
      </c>
      <c r="L42" s="165">
        <v>3</v>
      </c>
      <c r="M42" s="169">
        <v>25</v>
      </c>
      <c r="N42" s="169" t="s">
        <v>817</v>
      </c>
    </row>
    <row r="43" spans="1:14" ht="15">
      <c r="A43" s="4" t="s">
        <v>287</v>
      </c>
      <c r="B43" s="4" t="s">
        <v>499</v>
      </c>
      <c r="C43" s="330" t="s">
        <v>814</v>
      </c>
      <c r="D43" s="331">
        <v>20</v>
      </c>
      <c r="E43" s="331">
        <v>2</v>
      </c>
      <c r="F43" s="331">
        <v>6.7</v>
      </c>
      <c r="G43" s="331">
        <v>14</v>
      </c>
      <c r="H43" s="331">
        <v>0</v>
      </c>
      <c r="I43" s="331"/>
      <c r="J43" s="165" t="s">
        <v>1105</v>
      </c>
      <c r="K43" s="165">
        <v>3.4622222200000001</v>
      </c>
      <c r="L43" s="165">
        <v>1.5</v>
      </c>
      <c r="M43" s="169">
        <v>30</v>
      </c>
      <c r="N43" s="169" t="s">
        <v>818</v>
      </c>
    </row>
    <row r="44" spans="1:14" ht="15">
      <c r="A44" s="4" t="s">
        <v>157</v>
      </c>
      <c r="B44" s="4" t="s">
        <v>501</v>
      </c>
      <c r="C44" s="330" t="s">
        <v>814</v>
      </c>
      <c r="D44" s="331">
        <v>7.6</v>
      </c>
      <c r="E44" s="331">
        <v>0.76</v>
      </c>
      <c r="F44" s="331">
        <v>0</v>
      </c>
      <c r="G44" s="331">
        <v>0</v>
      </c>
      <c r="H44" s="331">
        <v>0</v>
      </c>
      <c r="I44" s="331"/>
      <c r="J44" s="165" t="s">
        <v>1105</v>
      </c>
      <c r="K44" s="165">
        <v>7.2929811000000004</v>
      </c>
      <c r="L44" s="165">
        <v>1.5</v>
      </c>
      <c r="M44" s="169">
        <v>25</v>
      </c>
      <c r="N44" s="169" t="s">
        <v>818</v>
      </c>
    </row>
    <row r="45" spans="1:14" ht="15">
      <c r="A45" s="4" t="s">
        <v>34</v>
      </c>
      <c r="B45" s="4" t="s">
        <v>491</v>
      </c>
      <c r="C45" s="330" t="s">
        <v>816</v>
      </c>
      <c r="D45" s="331">
        <v>11</v>
      </c>
      <c r="E45" s="331">
        <v>0.28000000000000003</v>
      </c>
      <c r="F45" s="331">
        <v>10</v>
      </c>
      <c r="G45" s="331">
        <v>57</v>
      </c>
      <c r="H45" s="331">
        <v>0</v>
      </c>
      <c r="I45" s="331"/>
      <c r="J45" s="165" t="s">
        <v>1105</v>
      </c>
      <c r="K45" s="165">
        <v>20.561346400000001</v>
      </c>
      <c r="L45" s="165">
        <v>3.5779640700000002</v>
      </c>
      <c r="M45" s="167">
        <v>200</v>
      </c>
      <c r="N45" s="166" t="s">
        <v>817</v>
      </c>
    </row>
    <row r="46" spans="1:14" ht="15">
      <c r="A46" s="4" t="s">
        <v>694</v>
      </c>
      <c r="B46" s="4" t="s">
        <v>495</v>
      </c>
      <c r="C46" s="330" t="s">
        <v>816</v>
      </c>
      <c r="D46" s="331">
        <v>35</v>
      </c>
      <c r="E46" s="331">
        <v>0.88</v>
      </c>
      <c r="F46" s="331">
        <v>23</v>
      </c>
      <c r="G46" s="331">
        <v>47</v>
      </c>
      <c r="H46" s="331">
        <v>14</v>
      </c>
      <c r="I46" s="331"/>
      <c r="J46" s="165" t="s">
        <v>1105</v>
      </c>
      <c r="K46" s="165">
        <v>8.3300919600000007</v>
      </c>
      <c r="L46" s="165">
        <v>3.5779640700000002</v>
      </c>
      <c r="M46" s="167">
        <v>200</v>
      </c>
      <c r="N46" s="166" t="s">
        <v>817</v>
      </c>
    </row>
    <row r="47" spans="1:14" ht="15">
      <c r="A47" s="4" t="s">
        <v>695</v>
      </c>
      <c r="B47" s="4" t="s">
        <v>497</v>
      </c>
      <c r="C47" s="330" t="s">
        <v>816</v>
      </c>
      <c r="D47" s="331">
        <v>64</v>
      </c>
      <c r="E47" s="331">
        <v>1.6</v>
      </c>
      <c r="F47" s="331">
        <v>13</v>
      </c>
      <c r="G47" s="331">
        <v>45</v>
      </c>
      <c r="H47" s="331">
        <v>10</v>
      </c>
      <c r="I47" s="331"/>
      <c r="J47" s="165" t="s">
        <v>1105</v>
      </c>
      <c r="K47" s="165">
        <v>4.4618954100000003</v>
      </c>
      <c r="L47" s="165">
        <v>3.5779640700000002</v>
      </c>
      <c r="M47" s="167">
        <v>200</v>
      </c>
      <c r="N47" s="166" t="s">
        <v>817</v>
      </c>
    </row>
    <row r="48" spans="1:14" ht="15">
      <c r="A48" s="4" t="s">
        <v>40</v>
      </c>
      <c r="B48" s="4" t="s">
        <v>288</v>
      </c>
      <c r="C48" s="330" t="s">
        <v>816</v>
      </c>
      <c r="D48" s="331">
        <v>17</v>
      </c>
      <c r="E48" s="331">
        <v>0.43</v>
      </c>
      <c r="F48" s="331">
        <v>0</v>
      </c>
      <c r="G48" s="331">
        <v>10</v>
      </c>
      <c r="H48" s="331">
        <v>0</v>
      </c>
      <c r="I48" s="331"/>
      <c r="J48" s="165" t="s">
        <v>1105</v>
      </c>
      <c r="K48" s="165">
        <v>15.052501700000001</v>
      </c>
      <c r="L48" s="165">
        <v>5</v>
      </c>
      <c r="M48" s="167">
        <v>50</v>
      </c>
      <c r="N48" s="166" t="s">
        <v>817</v>
      </c>
    </row>
    <row r="49" spans="1:14" ht="15">
      <c r="A49" s="4" t="s">
        <v>41</v>
      </c>
      <c r="B49" s="4" t="s">
        <v>1720</v>
      </c>
      <c r="C49" s="330" t="s">
        <v>816</v>
      </c>
      <c r="D49" s="331">
        <v>41.8</v>
      </c>
      <c r="E49" s="331">
        <v>12.54</v>
      </c>
      <c r="F49" s="331">
        <v>24.7</v>
      </c>
      <c r="G49" s="331">
        <v>66.900000000000006</v>
      </c>
      <c r="H49" s="331">
        <v>9.6999999999999993</v>
      </c>
      <c r="I49" s="331"/>
      <c r="J49" s="165" t="s">
        <v>1105</v>
      </c>
      <c r="K49" s="165">
        <v>15.3833223</v>
      </c>
      <c r="L49" s="165">
        <v>3</v>
      </c>
      <c r="M49" s="167">
        <v>200</v>
      </c>
      <c r="N49" s="166" t="s">
        <v>817</v>
      </c>
    </row>
    <row r="50" spans="1:14" ht="15">
      <c r="A50" s="4" t="s">
        <v>42</v>
      </c>
      <c r="B50" s="4" t="s">
        <v>1721</v>
      </c>
      <c r="C50" s="330" t="s">
        <v>814</v>
      </c>
      <c r="D50" s="331">
        <v>2.78</v>
      </c>
      <c r="E50" s="331">
        <v>1.01</v>
      </c>
      <c r="F50" s="331">
        <v>1.19</v>
      </c>
      <c r="G50" s="331">
        <v>3.54</v>
      </c>
      <c r="H50" s="331">
        <v>0.76</v>
      </c>
      <c r="I50" s="331">
        <v>60</v>
      </c>
      <c r="J50" s="165" t="s">
        <v>798</v>
      </c>
      <c r="K50" s="165">
        <v>12.672539199999999</v>
      </c>
      <c r="L50" s="165">
        <v>3</v>
      </c>
      <c r="M50" s="167">
        <v>200</v>
      </c>
      <c r="N50" s="166" t="s">
        <v>818</v>
      </c>
    </row>
    <row r="51" spans="1:14" ht="15">
      <c r="A51" s="4" t="s">
        <v>43</v>
      </c>
      <c r="B51" s="4" t="s">
        <v>1722</v>
      </c>
      <c r="C51" s="330" t="s">
        <v>814</v>
      </c>
      <c r="D51" s="331">
        <v>4</v>
      </c>
      <c r="E51" s="331">
        <v>2.2999999999999998</v>
      </c>
      <c r="F51" s="331">
        <v>1.5</v>
      </c>
      <c r="G51" s="331">
        <v>4.0999999999999996</v>
      </c>
      <c r="H51" s="331">
        <v>0.6</v>
      </c>
      <c r="I51" s="331">
        <v>60</v>
      </c>
      <c r="J51" s="165" t="s">
        <v>798</v>
      </c>
      <c r="K51" s="165">
        <v>11.764705899999999</v>
      </c>
      <c r="L51" s="165">
        <v>3</v>
      </c>
      <c r="M51" s="167">
        <v>200</v>
      </c>
      <c r="N51" s="166" t="s">
        <v>818</v>
      </c>
    </row>
    <row r="52" spans="1:14" ht="15">
      <c r="A52" s="4" t="s">
        <v>44</v>
      </c>
      <c r="B52" s="4" t="s">
        <v>1723</v>
      </c>
      <c r="C52" s="330" t="s">
        <v>814</v>
      </c>
      <c r="D52" s="331">
        <v>5.0999999999999996</v>
      </c>
      <c r="E52" s="331">
        <v>2.9</v>
      </c>
      <c r="F52" s="331">
        <v>2.1</v>
      </c>
      <c r="G52" s="331">
        <v>5.4</v>
      </c>
      <c r="H52" s="331">
        <v>0.8</v>
      </c>
      <c r="I52" s="331">
        <v>60</v>
      </c>
      <c r="J52" s="165" t="s">
        <v>798</v>
      </c>
      <c r="K52" s="165">
        <v>11.590381799999999</v>
      </c>
      <c r="L52" s="165">
        <v>3</v>
      </c>
      <c r="M52" s="167">
        <v>200</v>
      </c>
      <c r="N52" s="166" t="s">
        <v>818</v>
      </c>
    </row>
    <row r="53" spans="1:14" ht="15">
      <c r="A53" s="4" t="s">
        <v>365</v>
      </c>
      <c r="B53" s="4" t="s">
        <v>1724</v>
      </c>
      <c r="C53" s="330" t="s">
        <v>814</v>
      </c>
      <c r="D53" s="331">
        <v>5.35</v>
      </c>
      <c r="E53" s="331">
        <v>2.78</v>
      </c>
      <c r="F53" s="331">
        <v>2.4</v>
      </c>
      <c r="G53" s="331">
        <v>5.63</v>
      </c>
      <c r="H53" s="331">
        <v>0.63</v>
      </c>
      <c r="I53" s="331">
        <v>60</v>
      </c>
      <c r="J53" s="165" t="s">
        <v>798</v>
      </c>
      <c r="K53" s="165">
        <v>11.429396799999999</v>
      </c>
      <c r="L53" s="165">
        <v>3</v>
      </c>
      <c r="M53" s="169">
        <v>200</v>
      </c>
      <c r="N53" s="169" t="s">
        <v>818</v>
      </c>
    </row>
    <row r="54" spans="1:14" ht="15">
      <c r="A54" s="4" t="s">
        <v>289</v>
      </c>
      <c r="B54" s="4" t="s">
        <v>1725</v>
      </c>
      <c r="C54" s="330" t="s">
        <v>814</v>
      </c>
      <c r="D54" s="331">
        <v>4.93</v>
      </c>
      <c r="E54" s="331">
        <v>2.99</v>
      </c>
      <c r="F54" s="331">
        <v>3.1</v>
      </c>
      <c r="G54" s="331">
        <v>7.28</v>
      </c>
      <c r="H54" s="331">
        <v>0.82</v>
      </c>
      <c r="I54" s="331">
        <v>60</v>
      </c>
      <c r="J54" s="165" t="s">
        <v>798</v>
      </c>
      <c r="K54" s="165">
        <v>19.590020800000001</v>
      </c>
      <c r="L54" s="165">
        <v>3</v>
      </c>
      <c r="M54" s="169">
        <v>200</v>
      </c>
      <c r="N54" s="169" t="s">
        <v>818</v>
      </c>
    </row>
    <row r="55" spans="1:14" ht="15">
      <c r="A55" s="4" t="s">
        <v>158</v>
      </c>
      <c r="B55" s="4" t="s">
        <v>1726</v>
      </c>
      <c r="C55" s="330" t="s">
        <v>814</v>
      </c>
      <c r="D55" s="331">
        <v>4.59</v>
      </c>
      <c r="E55" s="331">
        <v>2.65</v>
      </c>
      <c r="F55" s="331">
        <v>1.54</v>
      </c>
      <c r="G55" s="331">
        <v>4.54</v>
      </c>
      <c r="H55" s="331">
        <v>1.1200000000000001</v>
      </c>
      <c r="I55" s="331">
        <v>60</v>
      </c>
      <c r="J55" s="165" t="s">
        <v>798</v>
      </c>
      <c r="K55" s="165">
        <v>15.7569307</v>
      </c>
      <c r="L55" s="165">
        <v>3</v>
      </c>
      <c r="M55" s="169">
        <v>200</v>
      </c>
      <c r="N55" s="169" t="s">
        <v>818</v>
      </c>
    </row>
    <row r="56" spans="1:14" ht="15">
      <c r="A56" s="4" t="s">
        <v>160</v>
      </c>
      <c r="B56" s="4" t="s">
        <v>1727</v>
      </c>
      <c r="C56" s="330" t="s">
        <v>814</v>
      </c>
      <c r="D56" s="331">
        <v>5.69</v>
      </c>
      <c r="E56" s="331">
        <v>4.3600000000000003</v>
      </c>
      <c r="F56" s="331">
        <v>1.46</v>
      </c>
      <c r="G56" s="331">
        <v>3.09</v>
      </c>
      <c r="H56" s="331">
        <v>0.85</v>
      </c>
      <c r="I56" s="331">
        <v>60</v>
      </c>
      <c r="J56" s="165" t="s">
        <v>798</v>
      </c>
      <c r="K56" s="165">
        <v>18.400118599999999</v>
      </c>
      <c r="L56" s="165">
        <v>3</v>
      </c>
      <c r="M56" s="169">
        <v>200</v>
      </c>
      <c r="N56" s="169" t="s">
        <v>818</v>
      </c>
    </row>
    <row r="57" spans="1:14" ht="15">
      <c r="A57" s="4" t="s">
        <v>318</v>
      </c>
      <c r="B57" s="4" t="s">
        <v>1728</v>
      </c>
      <c r="C57" s="330" t="s">
        <v>814</v>
      </c>
      <c r="D57" s="331">
        <v>5.44</v>
      </c>
      <c r="E57" s="331">
        <v>4.63</v>
      </c>
      <c r="F57" s="331">
        <v>1.2</v>
      </c>
      <c r="G57" s="331">
        <v>2</v>
      </c>
      <c r="H57" s="331">
        <v>0.68</v>
      </c>
      <c r="I57" s="331">
        <v>60</v>
      </c>
      <c r="J57" s="165" t="s">
        <v>798</v>
      </c>
      <c r="K57" s="165">
        <v>22.3210449</v>
      </c>
      <c r="L57" s="165">
        <v>3</v>
      </c>
      <c r="M57" s="169">
        <v>200</v>
      </c>
      <c r="N57" s="169" t="s">
        <v>818</v>
      </c>
    </row>
    <row r="58" spans="1:14" ht="15">
      <c r="A58" s="4" t="s">
        <v>367</v>
      </c>
      <c r="B58" s="4" t="s">
        <v>366</v>
      </c>
      <c r="C58" s="330" t="s">
        <v>816</v>
      </c>
      <c r="D58" s="331">
        <v>26</v>
      </c>
      <c r="E58" s="331">
        <v>0</v>
      </c>
      <c r="F58" s="331">
        <v>15</v>
      </c>
      <c r="G58" s="331">
        <v>35</v>
      </c>
      <c r="H58" s="331">
        <v>3</v>
      </c>
      <c r="I58" s="331"/>
      <c r="J58" s="165" t="s">
        <v>1105</v>
      </c>
      <c r="K58" s="165">
        <v>16.732107800000001</v>
      </c>
      <c r="L58" s="165">
        <v>3</v>
      </c>
      <c r="M58" s="169">
        <v>50</v>
      </c>
      <c r="N58" s="169" t="s">
        <v>817</v>
      </c>
    </row>
    <row r="59" spans="1:14" ht="15">
      <c r="A59" s="4" t="s">
        <v>107</v>
      </c>
      <c r="B59" s="4" t="s">
        <v>290</v>
      </c>
      <c r="C59" s="330" t="s">
        <v>814</v>
      </c>
      <c r="D59" s="331">
        <v>22.4</v>
      </c>
      <c r="E59" s="331">
        <v>1.57</v>
      </c>
      <c r="F59" s="331">
        <v>19.100000000000001</v>
      </c>
      <c r="G59" s="331">
        <v>18.2</v>
      </c>
      <c r="H59" s="331">
        <v>0</v>
      </c>
      <c r="I59" s="331"/>
      <c r="J59" s="165" t="s">
        <v>1105</v>
      </c>
      <c r="K59" s="165">
        <v>3.3416019399999999</v>
      </c>
      <c r="L59" s="165">
        <v>2</v>
      </c>
      <c r="M59" s="169">
        <v>10</v>
      </c>
      <c r="N59" s="169" t="s">
        <v>818</v>
      </c>
    </row>
    <row r="60" spans="1:14" ht="15">
      <c r="A60" s="4" t="s">
        <v>109</v>
      </c>
      <c r="B60" s="4" t="s">
        <v>159</v>
      </c>
      <c r="C60" s="330" t="s">
        <v>816</v>
      </c>
      <c r="D60" s="331">
        <v>110</v>
      </c>
      <c r="E60" s="331">
        <v>11</v>
      </c>
      <c r="F60" s="331">
        <v>5</v>
      </c>
      <c r="G60" s="331">
        <v>50</v>
      </c>
      <c r="H60" s="331">
        <v>4.5</v>
      </c>
      <c r="I60" s="331"/>
      <c r="J60" s="165" t="s">
        <v>1105</v>
      </c>
      <c r="K60" s="165">
        <v>2.8578124599999999</v>
      </c>
      <c r="L60" s="165">
        <v>1.5</v>
      </c>
      <c r="M60" s="169">
        <v>25</v>
      </c>
      <c r="N60" s="169" t="s">
        <v>817</v>
      </c>
    </row>
    <row r="61" spans="1:14" ht="15">
      <c r="A61" s="4" t="s">
        <v>111</v>
      </c>
      <c r="B61" s="4" t="s">
        <v>161</v>
      </c>
      <c r="C61" s="330" t="s">
        <v>816</v>
      </c>
      <c r="D61" s="331">
        <v>50</v>
      </c>
      <c r="E61" s="331">
        <v>0.25</v>
      </c>
      <c r="F61" s="331">
        <v>30</v>
      </c>
      <c r="G61" s="331">
        <v>50</v>
      </c>
      <c r="H61" s="331">
        <v>7.8</v>
      </c>
      <c r="I61" s="331"/>
      <c r="J61" s="165" t="s">
        <v>1105</v>
      </c>
      <c r="K61" s="165">
        <v>8.46459677</v>
      </c>
      <c r="L61" s="165">
        <v>6</v>
      </c>
      <c r="M61" s="169">
        <v>25</v>
      </c>
      <c r="N61" s="169" t="s">
        <v>817</v>
      </c>
    </row>
    <row r="62" spans="1:14" ht="15">
      <c r="A62" s="4" t="s">
        <v>113</v>
      </c>
      <c r="B62" s="4" t="s">
        <v>319</v>
      </c>
      <c r="C62" s="330" t="s">
        <v>814</v>
      </c>
      <c r="D62" s="331">
        <v>65</v>
      </c>
      <c r="E62" s="331">
        <v>3.25</v>
      </c>
      <c r="F62" s="331">
        <v>0</v>
      </c>
      <c r="G62" s="331">
        <v>0</v>
      </c>
      <c r="H62" s="331">
        <v>0</v>
      </c>
      <c r="I62" s="331"/>
      <c r="J62" s="165" t="s">
        <v>1105</v>
      </c>
      <c r="K62" s="165">
        <v>1.87869281</v>
      </c>
      <c r="L62" s="165">
        <v>1.5</v>
      </c>
      <c r="M62" s="169">
        <v>25</v>
      </c>
      <c r="N62" s="169" t="s">
        <v>817</v>
      </c>
    </row>
    <row r="63" spans="1:14" ht="15">
      <c r="A63" s="4" t="s">
        <v>162</v>
      </c>
      <c r="B63" s="4" t="s">
        <v>368</v>
      </c>
      <c r="C63" s="330" t="s">
        <v>816</v>
      </c>
      <c r="D63" s="331">
        <v>60</v>
      </c>
      <c r="E63" s="331">
        <v>3</v>
      </c>
      <c r="F63" s="331">
        <v>0.5</v>
      </c>
      <c r="G63" s="331">
        <v>30</v>
      </c>
      <c r="H63" s="331">
        <v>0.8</v>
      </c>
      <c r="I63" s="331"/>
      <c r="J63" s="165" t="s">
        <v>1105</v>
      </c>
      <c r="K63" s="165">
        <v>5.3425326699999998</v>
      </c>
      <c r="L63" s="165">
        <v>1.5</v>
      </c>
      <c r="M63" s="169">
        <v>25</v>
      </c>
      <c r="N63" s="169" t="s">
        <v>817</v>
      </c>
    </row>
    <row r="64" spans="1:14" ht="15">
      <c r="A64" s="4" t="s">
        <v>164</v>
      </c>
      <c r="B64" s="4" t="s">
        <v>108</v>
      </c>
      <c r="C64" s="330" t="s">
        <v>816</v>
      </c>
      <c r="D64" s="331">
        <v>120</v>
      </c>
      <c r="E64" s="331">
        <v>0</v>
      </c>
      <c r="F64" s="331">
        <v>0</v>
      </c>
      <c r="G64" s="331">
        <v>0</v>
      </c>
      <c r="H64" s="331">
        <v>0</v>
      </c>
      <c r="I64" s="331"/>
      <c r="J64" s="165" t="s">
        <v>1105</v>
      </c>
      <c r="K64" s="165">
        <v>3.8669760200000001</v>
      </c>
      <c r="L64" s="165">
        <v>2</v>
      </c>
      <c r="M64" s="169">
        <v>10</v>
      </c>
      <c r="N64" s="169" t="s">
        <v>817</v>
      </c>
    </row>
    <row r="65" spans="1:14" ht="15">
      <c r="A65" s="4" t="s">
        <v>45</v>
      </c>
      <c r="B65" s="4" t="s">
        <v>110</v>
      </c>
      <c r="C65" s="330" t="s">
        <v>816</v>
      </c>
      <c r="D65" s="331">
        <v>120</v>
      </c>
      <c r="E65" s="331">
        <v>0</v>
      </c>
      <c r="F65" s="331">
        <v>0</v>
      </c>
      <c r="G65" s="331">
        <v>0</v>
      </c>
      <c r="H65" s="331">
        <v>0</v>
      </c>
      <c r="I65" s="331">
        <v>70</v>
      </c>
      <c r="J65" s="165" t="s">
        <v>1105</v>
      </c>
      <c r="K65" s="165">
        <v>3.8669760200000001</v>
      </c>
      <c r="L65" s="165">
        <v>2</v>
      </c>
      <c r="M65" s="169">
        <v>10</v>
      </c>
      <c r="N65" s="169" t="s">
        <v>817</v>
      </c>
    </row>
    <row r="66" spans="1:14" ht="15">
      <c r="A66" s="4" t="s">
        <v>115</v>
      </c>
      <c r="B66" s="4" t="s">
        <v>112</v>
      </c>
      <c r="C66" s="330" t="s">
        <v>816</v>
      </c>
      <c r="D66" s="331">
        <v>120</v>
      </c>
      <c r="E66" s="331">
        <v>0</v>
      </c>
      <c r="F66" s="331">
        <v>0</v>
      </c>
      <c r="G66" s="331">
        <v>0</v>
      </c>
      <c r="H66" s="331">
        <v>0</v>
      </c>
      <c r="I66" s="331"/>
      <c r="J66" s="165" t="s">
        <v>1105</v>
      </c>
      <c r="K66" s="165">
        <v>3.8669760200000001</v>
      </c>
      <c r="L66" s="165">
        <v>2</v>
      </c>
      <c r="M66" s="169">
        <v>10</v>
      </c>
      <c r="N66" s="169" t="s">
        <v>817</v>
      </c>
    </row>
    <row r="67" spans="1:14" ht="15">
      <c r="A67" s="4" t="s">
        <v>454</v>
      </c>
      <c r="B67" s="4" t="s">
        <v>114</v>
      </c>
      <c r="C67" s="330" t="s">
        <v>816</v>
      </c>
      <c r="D67" s="331">
        <v>120</v>
      </c>
      <c r="E67" s="331">
        <v>0</v>
      </c>
      <c r="F67" s="331">
        <v>0</v>
      </c>
      <c r="G67" s="331">
        <v>0</v>
      </c>
      <c r="H67" s="331">
        <v>0</v>
      </c>
      <c r="I67" s="331">
        <v>70</v>
      </c>
      <c r="J67" s="165" t="s">
        <v>1105</v>
      </c>
      <c r="K67" s="165">
        <v>3.8669760200000001</v>
      </c>
      <c r="L67" s="165">
        <v>2</v>
      </c>
      <c r="M67" s="169">
        <v>10</v>
      </c>
      <c r="N67" s="169" t="s">
        <v>817</v>
      </c>
    </row>
    <row r="68" spans="1:14" ht="15">
      <c r="A68" s="4" t="s">
        <v>46</v>
      </c>
      <c r="B68" s="4" t="s">
        <v>163</v>
      </c>
      <c r="C68" s="330" t="s">
        <v>816</v>
      </c>
      <c r="D68" s="331">
        <v>50</v>
      </c>
      <c r="E68" s="331">
        <v>0.25</v>
      </c>
      <c r="F68" s="331">
        <v>10</v>
      </c>
      <c r="G68" s="331">
        <v>50</v>
      </c>
      <c r="H68" s="331">
        <v>0</v>
      </c>
      <c r="I68" s="331"/>
      <c r="J68" s="165" t="s">
        <v>1105</v>
      </c>
      <c r="K68" s="165">
        <v>8.1614569400000008</v>
      </c>
      <c r="L68" s="165">
        <v>6</v>
      </c>
      <c r="M68" s="169">
        <v>25</v>
      </c>
      <c r="N68" s="169" t="s">
        <v>817</v>
      </c>
    </row>
    <row r="69" spans="1:14" ht="15">
      <c r="A69" s="4" t="s">
        <v>166</v>
      </c>
      <c r="B69" s="4" t="s">
        <v>165</v>
      </c>
      <c r="C69" s="330" t="s">
        <v>816</v>
      </c>
      <c r="D69" s="331">
        <v>70</v>
      </c>
      <c r="E69" s="331">
        <v>0</v>
      </c>
      <c r="F69" s="331">
        <v>10</v>
      </c>
      <c r="G69" s="331">
        <v>10</v>
      </c>
      <c r="H69" s="331">
        <v>0</v>
      </c>
      <c r="I69" s="331"/>
      <c r="J69" s="165" t="s">
        <v>1105</v>
      </c>
      <c r="K69" s="165">
        <v>6.6291017600000002</v>
      </c>
      <c r="L69" s="165">
        <v>3</v>
      </c>
      <c r="M69" s="169">
        <v>10</v>
      </c>
      <c r="N69" s="169" t="s">
        <v>817</v>
      </c>
    </row>
    <row r="70" spans="1:14" ht="15">
      <c r="A70" s="4" t="s">
        <v>455</v>
      </c>
      <c r="B70" s="4" t="s">
        <v>1729</v>
      </c>
      <c r="C70" s="330" t="s">
        <v>816</v>
      </c>
      <c r="D70" s="331">
        <v>66.59</v>
      </c>
      <c r="E70" s="331">
        <v>2.6</v>
      </c>
      <c r="F70" s="331">
        <v>14.74</v>
      </c>
      <c r="G70" s="331">
        <v>10.19</v>
      </c>
      <c r="H70" s="331">
        <v>0.98</v>
      </c>
      <c r="I70" s="331"/>
      <c r="J70" s="165" t="s">
        <v>1105</v>
      </c>
      <c r="K70" s="165">
        <v>6.8421726300000003</v>
      </c>
      <c r="L70" s="165">
        <v>3</v>
      </c>
      <c r="M70" s="169">
        <v>10</v>
      </c>
      <c r="N70" s="169" t="s">
        <v>817</v>
      </c>
    </row>
    <row r="71" spans="1:14" ht="15">
      <c r="A71" s="4" t="s">
        <v>727</v>
      </c>
      <c r="B71" s="4" t="s">
        <v>116</v>
      </c>
      <c r="C71" s="330" t="s">
        <v>816</v>
      </c>
      <c r="D71" s="331">
        <v>80</v>
      </c>
      <c r="E71" s="331">
        <v>4</v>
      </c>
      <c r="F71" s="331">
        <v>15</v>
      </c>
      <c r="G71" s="331">
        <v>15</v>
      </c>
      <c r="H71" s="331">
        <v>40</v>
      </c>
      <c r="I71" s="331"/>
      <c r="J71" s="165" t="s">
        <v>1105</v>
      </c>
      <c r="K71" s="165">
        <v>3.43448529</v>
      </c>
      <c r="L71" s="165">
        <v>1.5</v>
      </c>
      <c r="M71" s="169">
        <v>25</v>
      </c>
      <c r="N71" s="169" t="s">
        <v>817</v>
      </c>
    </row>
    <row r="72" spans="1:14" ht="15">
      <c r="A72" s="4" t="s">
        <v>729</v>
      </c>
      <c r="B72" s="4" t="s">
        <v>1730</v>
      </c>
      <c r="C72" s="330" t="s">
        <v>816</v>
      </c>
      <c r="D72" s="331">
        <v>17</v>
      </c>
      <c r="E72" s="331">
        <v>0.43</v>
      </c>
      <c r="F72" s="331">
        <v>0</v>
      </c>
      <c r="G72" s="331">
        <v>11</v>
      </c>
      <c r="H72" s="331">
        <v>0</v>
      </c>
      <c r="I72" s="331"/>
      <c r="J72" s="165" t="s">
        <v>1105</v>
      </c>
      <c r="K72" s="165">
        <v>18.466969200000001</v>
      </c>
      <c r="L72" s="165">
        <v>3</v>
      </c>
      <c r="M72" s="169">
        <v>25</v>
      </c>
      <c r="N72" s="169" t="s">
        <v>817</v>
      </c>
    </row>
    <row r="73" spans="1:14" ht="15">
      <c r="A73" s="4" t="s">
        <v>456</v>
      </c>
      <c r="B73" s="4" t="s">
        <v>1731</v>
      </c>
      <c r="C73" s="330" t="s">
        <v>816</v>
      </c>
      <c r="D73" s="331">
        <v>86.23</v>
      </c>
      <c r="E73" s="331">
        <v>6.24</v>
      </c>
      <c r="F73" s="331">
        <v>11.58</v>
      </c>
      <c r="G73" s="331">
        <v>47.12</v>
      </c>
      <c r="H73" s="331">
        <v>67.31</v>
      </c>
      <c r="I73" s="331">
        <v>70</v>
      </c>
      <c r="J73" s="165" t="s">
        <v>1105</v>
      </c>
      <c r="K73" s="165">
        <v>4.8944633199999998</v>
      </c>
      <c r="L73" s="165">
        <v>3</v>
      </c>
      <c r="M73" s="169">
        <v>15</v>
      </c>
      <c r="N73" s="169" t="s">
        <v>817</v>
      </c>
    </row>
    <row r="74" spans="1:14" ht="15">
      <c r="A74" s="4" t="s">
        <v>369</v>
      </c>
      <c r="B74" s="4" t="s">
        <v>167</v>
      </c>
      <c r="C74" s="330" t="s">
        <v>816</v>
      </c>
      <c r="D74" s="331">
        <v>40</v>
      </c>
      <c r="E74" s="331">
        <v>0</v>
      </c>
      <c r="F74" s="331">
        <v>15</v>
      </c>
      <c r="G74" s="331">
        <v>0.5</v>
      </c>
      <c r="H74" s="331">
        <v>0</v>
      </c>
      <c r="I74" s="331"/>
      <c r="J74" s="165" t="s">
        <v>1105</v>
      </c>
      <c r="K74" s="165">
        <v>6.5255220400000002</v>
      </c>
      <c r="L74" s="165">
        <v>3</v>
      </c>
      <c r="M74" s="169">
        <v>25</v>
      </c>
      <c r="N74" s="169" t="s">
        <v>817</v>
      </c>
    </row>
    <row r="75" spans="1:14" ht="15">
      <c r="A75" s="4" t="s">
        <v>168</v>
      </c>
      <c r="B75" s="4" t="s">
        <v>1732</v>
      </c>
      <c r="C75" s="330" t="s">
        <v>816</v>
      </c>
      <c r="D75" s="331">
        <v>15</v>
      </c>
      <c r="E75" s="331">
        <v>0.38</v>
      </c>
      <c r="F75" s="331">
        <v>0</v>
      </c>
      <c r="G75" s="331">
        <v>11</v>
      </c>
      <c r="H75" s="331">
        <v>0</v>
      </c>
      <c r="I75" s="331"/>
      <c r="J75" s="165" t="s">
        <v>1105</v>
      </c>
      <c r="K75" s="165">
        <v>18.467852300000001</v>
      </c>
      <c r="L75" s="165">
        <v>3</v>
      </c>
      <c r="M75" s="169">
        <v>25</v>
      </c>
      <c r="N75" s="169" t="s">
        <v>817</v>
      </c>
    </row>
    <row r="76" spans="1:14" ht="15">
      <c r="A76" s="4" t="s">
        <v>127</v>
      </c>
      <c r="B76" s="4" t="s">
        <v>728</v>
      </c>
      <c r="C76" s="330" t="s">
        <v>814</v>
      </c>
      <c r="D76" s="331">
        <v>5</v>
      </c>
      <c r="E76" s="331">
        <v>0.2</v>
      </c>
      <c r="F76" s="331">
        <v>10.9</v>
      </c>
      <c r="G76" s="331">
        <v>9</v>
      </c>
      <c r="H76" s="331">
        <v>59</v>
      </c>
      <c r="I76" s="331"/>
      <c r="J76" s="165" t="s">
        <v>1105</v>
      </c>
      <c r="K76" s="165">
        <v>12.0843001</v>
      </c>
      <c r="L76" s="165">
        <v>3</v>
      </c>
      <c r="M76" s="169">
        <v>50</v>
      </c>
      <c r="N76" s="169" t="s">
        <v>818</v>
      </c>
    </row>
    <row r="77" spans="1:14" ht="15">
      <c r="A77" s="4" t="s">
        <v>170</v>
      </c>
      <c r="B77" s="4" t="s">
        <v>730</v>
      </c>
      <c r="C77" s="330" t="s">
        <v>814</v>
      </c>
      <c r="D77" s="331">
        <v>5</v>
      </c>
      <c r="E77" s="331">
        <v>0.2</v>
      </c>
      <c r="F77" s="331">
        <v>11</v>
      </c>
      <c r="G77" s="331">
        <v>10</v>
      </c>
      <c r="H77" s="331">
        <v>70</v>
      </c>
      <c r="I77" s="331"/>
      <c r="J77" s="165" t="s">
        <v>1105</v>
      </c>
      <c r="K77" s="165">
        <v>12.0843001</v>
      </c>
      <c r="L77" s="165">
        <v>3</v>
      </c>
      <c r="M77" s="169">
        <v>50</v>
      </c>
      <c r="N77" s="169" t="s">
        <v>818</v>
      </c>
    </row>
    <row r="78" spans="1:14" ht="15">
      <c r="A78" s="4" t="s">
        <v>324</v>
      </c>
      <c r="B78" s="4" t="s">
        <v>457</v>
      </c>
      <c r="C78" s="330" t="s">
        <v>816</v>
      </c>
      <c r="D78" s="331">
        <v>75</v>
      </c>
      <c r="E78" s="331">
        <v>3.75</v>
      </c>
      <c r="F78" s="331">
        <v>0</v>
      </c>
      <c r="G78" s="331">
        <v>0</v>
      </c>
      <c r="H78" s="331">
        <v>0</v>
      </c>
      <c r="I78" s="331"/>
      <c r="J78" s="165" t="s">
        <v>1105</v>
      </c>
      <c r="K78" s="165">
        <v>4.2105263199999996</v>
      </c>
      <c r="L78" s="165">
        <v>1.5</v>
      </c>
      <c r="M78" s="169">
        <v>25</v>
      </c>
      <c r="N78" s="169" t="s">
        <v>817</v>
      </c>
    </row>
    <row r="79" spans="1:14" ht="15">
      <c r="A79" s="4" t="s">
        <v>326</v>
      </c>
      <c r="B79" s="4" t="s">
        <v>370</v>
      </c>
      <c r="C79" s="330" t="s">
        <v>816</v>
      </c>
      <c r="D79" s="331">
        <v>59.2</v>
      </c>
      <c r="E79" s="331">
        <v>0</v>
      </c>
      <c r="F79" s="331">
        <v>16.3</v>
      </c>
      <c r="G79" s="331">
        <v>20</v>
      </c>
      <c r="H79" s="331">
        <v>6.4</v>
      </c>
      <c r="I79" s="331"/>
      <c r="J79" s="165" t="s">
        <v>1105</v>
      </c>
      <c r="K79" s="165">
        <v>7.5641186400000002</v>
      </c>
      <c r="L79" s="165">
        <v>3</v>
      </c>
      <c r="M79" s="169">
        <v>50</v>
      </c>
      <c r="N79" s="169" t="s">
        <v>817</v>
      </c>
    </row>
    <row r="80" spans="1:14" ht="15">
      <c r="A80" s="4" t="s">
        <v>172</v>
      </c>
      <c r="B80" s="4" t="s">
        <v>169</v>
      </c>
      <c r="C80" s="330" t="s">
        <v>816</v>
      </c>
      <c r="D80" s="331">
        <v>60</v>
      </c>
      <c r="E80" s="331">
        <v>2.4</v>
      </c>
      <c r="F80" s="331">
        <v>60</v>
      </c>
      <c r="G80" s="331">
        <v>90</v>
      </c>
      <c r="H80" s="331">
        <v>0</v>
      </c>
      <c r="I80" s="331"/>
      <c r="J80" s="165" t="s">
        <v>1105</v>
      </c>
      <c r="K80" s="165">
        <v>5.2365300299999999</v>
      </c>
      <c r="L80" s="165">
        <v>2</v>
      </c>
      <c r="M80" s="169">
        <v>15</v>
      </c>
      <c r="N80" s="169" t="s">
        <v>817</v>
      </c>
    </row>
    <row r="81" spans="1:14" ht="15">
      <c r="A81" s="4" t="s">
        <v>174</v>
      </c>
      <c r="B81" s="4" t="s">
        <v>128</v>
      </c>
      <c r="C81" s="330" t="s">
        <v>816</v>
      </c>
      <c r="D81" s="331">
        <v>40</v>
      </c>
      <c r="E81" s="331">
        <v>0</v>
      </c>
      <c r="F81" s="331">
        <v>230</v>
      </c>
      <c r="G81" s="331">
        <v>0</v>
      </c>
      <c r="H81" s="331">
        <v>0</v>
      </c>
      <c r="I81" s="331"/>
      <c r="J81" s="165" t="s">
        <v>1105</v>
      </c>
      <c r="K81" s="165">
        <v>4.6403712300000004</v>
      </c>
      <c r="L81" s="165">
        <v>3</v>
      </c>
      <c r="M81" s="169">
        <v>20</v>
      </c>
      <c r="N81" s="169" t="s">
        <v>817</v>
      </c>
    </row>
    <row r="82" spans="1:14" ht="15">
      <c r="A82" s="4" t="s">
        <v>176</v>
      </c>
      <c r="B82" s="4" t="s">
        <v>171</v>
      </c>
      <c r="C82" s="330" t="s">
        <v>816</v>
      </c>
      <c r="D82" s="331">
        <v>120</v>
      </c>
      <c r="E82" s="331">
        <v>0</v>
      </c>
      <c r="F82" s="331">
        <v>0</v>
      </c>
      <c r="G82" s="331">
        <v>30</v>
      </c>
      <c r="H82" s="331">
        <v>0</v>
      </c>
      <c r="I82" s="331"/>
      <c r="J82" s="165" t="s">
        <v>1105</v>
      </c>
      <c r="K82" s="165">
        <v>4.0119876300000001</v>
      </c>
      <c r="L82" s="165">
        <v>2</v>
      </c>
      <c r="M82" s="169">
        <v>15</v>
      </c>
      <c r="N82" s="169" t="s">
        <v>817</v>
      </c>
    </row>
    <row r="83" spans="1:14" ht="15">
      <c r="A83" s="4" t="s">
        <v>178</v>
      </c>
      <c r="B83" s="4" t="s">
        <v>325</v>
      </c>
      <c r="C83" s="330" t="s">
        <v>816</v>
      </c>
      <c r="D83" s="331">
        <v>60</v>
      </c>
      <c r="E83" s="331">
        <v>0</v>
      </c>
      <c r="F83" s="331">
        <v>30</v>
      </c>
      <c r="G83" s="331">
        <v>40</v>
      </c>
      <c r="H83" s="331">
        <v>9</v>
      </c>
      <c r="I83" s="331"/>
      <c r="J83" s="165" t="s">
        <v>1105</v>
      </c>
      <c r="K83" s="165">
        <v>6.6705336400000004</v>
      </c>
      <c r="L83" s="165">
        <v>5</v>
      </c>
      <c r="M83" s="169">
        <v>50</v>
      </c>
      <c r="N83" s="169" t="s">
        <v>817</v>
      </c>
    </row>
    <row r="84" spans="1:14" ht="15">
      <c r="A84" s="4" t="s">
        <v>131</v>
      </c>
      <c r="B84" s="4" t="s">
        <v>327</v>
      </c>
      <c r="C84" s="330" t="s">
        <v>816</v>
      </c>
      <c r="D84" s="331">
        <v>80</v>
      </c>
      <c r="E84" s="331">
        <v>0</v>
      </c>
      <c r="F84" s="331">
        <v>50</v>
      </c>
      <c r="G84" s="331">
        <v>60</v>
      </c>
      <c r="H84" s="331">
        <v>3</v>
      </c>
      <c r="I84" s="331"/>
      <c r="J84" s="165" t="s">
        <v>1105</v>
      </c>
      <c r="K84" s="165">
        <v>4.6403712300000004</v>
      </c>
      <c r="L84" s="165">
        <v>2</v>
      </c>
      <c r="M84" s="169">
        <v>15</v>
      </c>
      <c r="N84" s="169" t="s">
        <v>817</v>
      </c>
    </row>
    <row r="85" spans="1:14" ht="15">
      <c r="A85" s="4" t="s">
        <v>371</v>
      </c>
      <c r="B85" s="4" t="s">
        <v>173</v>
      </c>
      <c r="C85" s="330" t="s">
        <v>816</v>
      </c>
      <c r="D85" s="331">
        <v>90</v>
      </c>
      <c r="E85" s="331">
        <v>3.6</v>
      </c>
      <c r="F85" s="331">
        <v>40</v>
      </c>
      <c r="G85" s="331">
        <v>30</v>
      </c>
      <c r="H85" s="331">
        <v>0</v>
      </c>
      <c r="I85" s="331"/>
      <c r="J85" s="165" t="s">
        <v>1105</v>
      </c>
      <c r="K85" s="165">
        <v>4.4980450300000001</v>
      </c>
      <c r="L85" s="165">
        <v>2</v>
      </c>
      <c r="M85" s="169">
        <v>15</v>
      </c>
      <c r="N85" s="169" t="s">
        <v>817</v>
      </c>
    </row>
    <row r="86" spans="1:14" ht="15">
      <c r="A86" s="4" t="s">
        <v>373</v>
      </c>
      <c r="B86" s="4" t="s">
        <v>175</v>
      </c>
      <c r="C86" s="330" t="s">
        <v>816</v>
      </c>
      <c r="D86" s="331">
        <v>90</v>
      </c>
      <c r="E86" s="331">
        <v>3.6</v>
      </c>
      <c r="F86" s="331">
        <v>50</v>
      </c>
      <c r="G86" s="331">
        <v>30</v>
      </c>
      <c r="H86" s="331">
        <v>0</v>
      </c>
      <c r="I86" s="331"/>
      <c r="J86" s="165" t="s">
        <v>1105</v>
      </c>
      <c r="K86" s="165">
        <v>4.7665850299999999</v>
      </c>
      <c r="L86" s="165">
        <v>2</v>
      </c>
      <c r="M86" s="169">
        <v>15</v>
      </c>
      <c r="N86" s="169" t="s">
        <v>817</v>
      </c>
    </row>
    <row r="87" spans="1:14" ht="15">
      <c r="A87" s="4" t="s">
        <v>180</v>
      </c>
      <c r="B87" s="4" t="s">
        <v>177</v>
      </c>
      <c r="C87" s="330" t="s">
        <v>816</v>
      </c>
      <c r="D87" s="331">
        <v>70</v>
      </c>
      <c r="E87" s="331">
        <v>2.8</v>
      </c>
      <c r="F87" s="331">
        <v>70</v>
      </c>
      <c r="G87" s="331">
        <v>100</v>
      </c>
      <c r="H87" s="331">
        <v>0</v>
      </c>
      <c r="I87" s="331"/>
      <c r="J87" s="165" t="s">
        <v>1105</v>
      </c>
      <c r="K87" s="165">
        <v>4.4021378899999997</v>
      </c>
      <c r="L87" s="165">
        <v>2</v>
      </c>
      <c r="M87" s="169">
        <v>15</v>
      </c>
      <c r="N87" s="169" t="s">
        <v>817</v>
      </c>
    </row>
    <row r="88" spans="1:14" ht="15">
      <c r="A88" s="4" t="s">
        <v>291</v>
      </c>
      <c r="B88" s="4" t="s">
        <v>179</v>
      </c>
      <c r="C88" s="330" t="s">
        <v>816</v>
      </c>
      <c r="D88" s="331">
        <v>23</v>
      </c>
      <c r="E88" s="331">
        <v>2.2999999999999998</v>
      </c>
      <c r="F88" s="331">
        <v>0</v>
      </c>
      <c r="G88" s="331">
        <v>60</v>
      </c>
      <c r="H88" s="331">
        <v>0</v>
      </c>
      <c r="I88" s="331"/>
      <c r="J88" s="165" t="s">
        <v>1105</v>
      </c>
      <c r="K88" s="165">
        <v>4.99988791</v>
      </c>
      <c r="L88" s="165">
        <v>1.5</v>
      </c>
      <c r="M88" s="169">
        <v>25</v>
      </c>
      <c r="N88" s="169" t="s">
        <v>817</v>
      </c>
    </row>
    <row r="89" spans="1:14" ht="15">
      <c r="A89" s="152"/>
      <c r="B89" s="152" t="s">
        <v>132</v>
      </c>
      <c r="C89" s="332" t="s">
        <v>816</v>
      </c>
      <c r="D89" s="333">
        <v>20</v>
      </c>
      <c r="E89" s="333">
        <v>2</v>
      </c>
      <c r="F89" s="333">
        <v>0</v>
      </c>
      <c r="G89" s="333">
        <v>200</v>
      </c>
      <c r="H89" s="333">
        <v>0</v>
      </c>
      <c r="I89" s="333"/>
      <c r="J89" s="170" t="s">
        <v>1105</v>
      </c>
      <c r="K89" s="170">
        <v>11.923176099999999</v>
      </c>
      <c r="L89" s="170">
        <v>1.5</v>
      </c>
      <c r="M89" s="169">
        <v>25</v>
      </c>
      <c r="N89" s="169" t="s">
        <v>817</v>
      </c>
    </row>
    <row r="90" spans="1:14" ht="15">
      <c r="A90" s="4" t="s">
        <v>476</v>
      </c>
      <c r="B90" s="4" t="s">
        <v>372</v>
      </c>
      <c r="C90" s="330" t="s">
        <v>815</v>
      </c>
      <c r="D90" s="331">
        <v>25</v>
      </c>
      <c r="E90" s="331">
        <v>0</v>
      </c>
      <c r="F90" s="331">
        <v>10</v>
      </c>
      <c r="G90" s="331">
        <v>40</v>
      </c>
      <c r="H90" s="331">
        <v>0</v>
      </c>
      <c r="I90" s="331"/>
      <c r="J90" s="165" t="s">
        <v>1105</v>
      </c>
      <c r="K90" s="165">
        <v>16.473317900000001</v>
      </c>
      <c r="L90" s="165">
        <v>5</v>
      </c>
      <c r="M90" s="169">
        <v>50</v>
      </c>
      <c r="N90" s="169" t="s">
        <v>817</v>
      </c>
    </row>
    <row r="91" spans="1:14" ht="15">
      <c r="A91" s="4" t="s">
        <v>182</v>
      </c>
      <c r="B91" s="4" t="s">
        <v>374</v>
      </c>
      <c r="C91" s="330" t="s">
        <v>815</v>
      </c>
      <c r="D91" s="331">
        <v>25</v>
      </c>
      <c r="E91" s="331">
        <v>0</v>
      </c>
      <c r="F91" s="331">
        <v>10</v>
      </c>
      <c r="G91" s="331">
        <v>40</v>
      </c>
      <c r="H91" s="331">
        <v>0</v>
      </c>
      <c r="I91" s="331">
        <v>80</v>
      </c>
      <c r="J91" s="165" t="s">
        <v>1105</v>
      </c>
      <c r="K91" s="165">
        <v>16.473317900000001</v>
      </c>
      <c r="L91" s="165">
        <v>5</v>
      </c>
      <c r="M91" s="169">
        <v>50</v>
      </c>
      <c r="N91" s="169" t="s">
        <v>817</v>
      </c>
    </row>
    <row r="92" spans="1:14" ht="15">
      <c r="A92" s="4" t="s">
        <v>184</v>
      </c>
      <c r="B92" s="4" t="s">
        <v>181</v>
      </c>
      <c r="C92" s="330" t="s">
        <v>816</v>
      </c>
      <c r="D92" s="331">
        <v>100</v>
      </c>
      <c r="E92" s="331">
        <v>0</v>
      </c>
      <c r="F92" s="331">
        <v>2</v>
      </c>
      <c r="G92" s="331">
        <v>50</v>
      </c>
      <c r="H92" s="331">
        <v>2</v>
      </c>
      <c r="I92" s="331">
        <v>70</v>
      </c>
      <c r="J92" s="165" t="s">
        <v>1105</v>
      </c>
      <c r="K92" s="165">
        <v>4.8201856100000002</v>
      </c>
      <c r="L92" s="165">
        <v>2</v>
      </c>
      <c r="M92" s="169">
        <v>10</v>
      </c>
      <c r="N92" s="169" t="s">
        <v>817</v>
      </c>
    </row>
    <row r="93" spans="1:14" ht="15">
      <c r="A93" s="4" t="s">
        <v>186</v>
      </c>
      <c r="B93" s="4" t="s">
        <v>292</v>
      </c>
      <c r="C93" s="330" t="s">
        <v>816</v>
      </c>
      <c r="D93" s="331">
        <v>70</v>
      </c>
      <c r="E93" s="331">
        <v>3.5</v>
      </c>
      <c r="F93" s="331">
        <v>0</v>
      </c>
      <c r="G93" s="331">
        <v>0</v>
      </c>
      <c r="H93" s="331">
        <v>0</v>
      </c>
      <c r="I93" s="331"/>
      <c r="J93" s="165" t="s">
        <v>1105</v>
      </c>
      <c r="K93" s="165">
        <v>4.71015125</v>
      </c>
      <c r="L93" s="165">
        <v>1.5</v>
      </c>
      <c r="M93" s="169">
        <v>25</v>
      </c>
      <c r="N93" s="169" t="s">
        <v>817</v>
      </c>
    </row>
    <row r="94" spans="1:14" ht="15">
      <c r="A94" s="4" t="s">
        <v>188</v>
      </c>
      <c r="B94" s="4" t="s">
        <v>1096</v>
      </c>
      <c r="C94" s="330" t="s">
        <v>816</v>
      </c>
      <c r="D94" s="331">
        <v>120</v>
      </c>
      <c r="E94" s="331"/>
      <c r="F94" s="331">
        <v>24</v>
      </c>
      <c r="G94" s="331">
        <v>0</v>
      </c>
      <c r="H94" s="331">
        <v>0</v>
      </c>
      <c r="I94" s="331"/>
      <c r="J94" s="165" t="s">
        <v>1105</v>
      </c>
      <c r="K94" s="165">
        <v>4</v>
      </c>
      <c r="L94" s="165"/>
      <c r="M94" s="169"/>
      <c r="N94" s="169"/>
    </row>
    <row r="95" spans="1:14" ht="15">
      <c r="A95" s="4" t="s">
        <v>190</v>
      </c>
      <c r="B95" s="4" t="s">
        <v>477</v>
      </c>
      <c r="C95" s="330" t="s">
        <v>816</v>
      </c>
      <c r="D95" s="331">
        <v>90</v>
      </c>
      <c r="E95" s="331">
        <v>4.5</v>
      </c>
      <c r="F95" s="331">
        <v>0</v>
      </c>
      <c r="G95" s="331">
        <v>0</v>
      </c>
      <c r="H95" s="331">
        <v>0</v>
      </c>
      <c r="I95" s="331"/>
      <c r="J95" s="165" t="s">
        <v>1105</v>
      </c>
      <c r="K95" s="165">
        <v>3.39208423</v>
      </c>
      <c r="L95" s="165">
        <v>1.5</v>
      </c>
      <c r="M95" s="169">
        <v>25</v>
      </c>
      <c r="N95" s="169" t="s">
        <v>817</v>
      </c>
    </row>
    <row r="96" spans="1:14" ht="15">
      <c r="A96" s="4" t="s">
        <v>192</v>
      </c>
      <c r="B96" s="4" t="s">
        <v>183</v>
      </c>
      <c r="C96" s="330" t="s">
        <v>816</v>
      </c>
      <c r="D96" s="331">
        <v>98</v>
      </c>
      <c r="E96" s="331">
        <v>6.86</v>
      </c>
      <c r="F96" s="331">
        <v>27</v>
      </c>
      <c r="G96" s="331">
        <v>23</v>
      </c>
      <c r="H96" s="331">
        <v>10</v>
      </c>
      <c r="I96" s="331"/>
      <c r="J96" s="165" t="s">
        <v>1105</v>
      </c>
      <c r="K96" s="165">
        <v>5.0914760000000001</v>
      </c>
      <c r="L96" s="165">
        <v>2</v>
      </c>
      <c r="M96" s="169">
        <v>10</v>
      </c>
      <c r="N96" s="169" t="s">
        <v>817</v>
      </c>
    </row>
    <row r="97" spans="1:14" ht="15">
      <c r="A97" s="4" t="s">
        <v>194</v>
      </c>
      <c r="B97" s="4" t="s">
        <v>185</v>
      </c>
      <c r="C97" s="330" t="s">
        <v>816</v>
      </c>
      <c r="D97" s="331">
        <v>50</v>
      </c>
      <c r="E97" s="331">
        <v>3.5</v>
      </c>
      <c r="F97" s="331">
        <v>50</v>
      </c>
      <c r="G97" s="331">
        <v>80</v>
      </c>
      <c r="H97" s="331">
        <v>20</v>
      </c>
      <c r="I97" s="331"/>
      <c r="J97" s="165" t="s">
        <v>1105</v>
      </c>
      <c r="K97" s="165">
        <v>7.4844697299999998</v>
      </c>
      <c r="L97" s="165">
        <v>2</v>
      </c>
      <c r="M97" s="169">
        <v>10</v>
      </c>
      <c r="N97" s="169" t="s">
        <v>817</v>
      </c>
    </row>
    <row r="98" spans="1:14" ht="15">
      <c r="A98" s="4" t="s">
        <v>741</v>
      </c>
      <c r="B98" s="4" t="s">
        <v>187</v>
      </c>
      <c r="C98" s="330" t="s">
        <v>816</v>
      </c>
      <c r="D98" s="331">
        <v>7</v>
      </c>
      <c r="E98" s="331">
        <v>0</v>
      </c>
      <c r="F98" s="331">
        <v>5</v>
      </c>
      <c r="G98" s="331">
        <v>9</v>
      </c>
      <c r="H98" s="331">
        <v>11</v>
      </c>
      <c r="I98" s="331"/>
      <c r="J98" s="165" t="s">
        <v>1105</v>
      </c>
      <c r="K98" s="165">
        <v>21.544580700000001</v>
      </c>
      <c r="L98" s="165">
        <v>6</v>
      </c>
      <c r="M98" s="169">
        <v>200</v>
      </c>
      <c r="N98" s="169" t="s">
        <v>817</v>
      </c>
    </row>
    <row r="99" spans="1:14" ht="15">
      <c r="A99" s="4" t="s">
        <v>743</v>
      </c>
      <c r="B99" s="4" t="s">
        <v>189</v>
      </c>
      <c r="C99" s="330" t="s">
        <v>816</v>
      </c>
      <c r="D99" s="331">
        <v>50</v>
      </c>
      <c r="E99" s="331">
        <v>5</v>
      </c>
      <c r="F99" s="331">
        <v>0</v>
      </c>
      <c r="G99" s="331">
        <v>50</v>
      </c>
      <c r="H99" s="331">
        <v>0</v>
      </c>
      <c r="I99" s="331"/>
      <c r="J99" s="165" t="s">
        <v>1105</v>
      </c>
      <c r="K99" s="165">
        <v>10.3119361</v>
      </c>
      <c r="L99" s="165">
        <v>1.5</v>
      </c>
      <c r="M99" s="169">
        <v>25</v>
      </c>
      <c r="N99" s="169" t="s">
        <v>817</v>
      </c>
    </row>
    <row r="100" spans="1:14" ht="15">
      <c r="A100" s="4" t="s">
        <v>196</v>
      </c>
      <c r="B100" s="4" t="s">
        <v>191</v>
      </c>
      <c r="C100" s="330" t="s">
        <v>816</v>
      </c>
      <c r="D100" s="331">
        <v>70</v>
      </c>
      <c r="E100" s="331">
        <v>2.8</v>
      </c>
      <c r="F100" s="331">
        <v>40</v>
      </c>
      <c r="G100" s="331">
        <v>70</v>
      </c>
      <c r="H100" s="331">
        <v>3</v>
      </c>
      <c r="I100" s="331"/>
      <c r="J100" s="165" t="s">
        <v>1105</v>
      </c>
      <c r="K100" s="165">
        <v>5.6105678899999996</v>
      </c>
      <c r="L100" s="165">
        <v>2</v>
      </c>
      <c r="M100" s="169">
        <v>15</v>
      </c>
      <c r="N100" s="169" t="s">
        <v>817</v>
      </c>
    </row>
    <row r="101" spans="1:14" ht="15">
      <c r="A101" s="4" t="s">
        <v>198</v>
      </c>
      <c r="B101" s="4" t="s">
        <v>193</v>
      </c>
      <c r="C101" s="330" t="s">
        <v>816</v>
      </c>
      <c r="D101" s="331">
        <v>1.8</v>
      </c>
      <c r="E101" s="331">
        <v>0.18</v>
      </c>
      <c r="F101" s="331">
        <v>5</v>
      </c>
      <c r="G101" s="331">
        <v>2.7</v>
      </c>
      <c r="H101" s="331">
        <v>0.9</v>
      </c>
      <c r="I101" s="331"/>
      <c r="J101" s="165" t="s">
        <v>1105</v>
      </c>
      <c r="K101" s="165">
        <v>14.3221334</v>
      </c>
      <c r="L101" s="165">
        <v>1.5</v>
      </c>
      <c r="M101" s="169">
        <v>25</v>
      </c>
      <c r="N101" s="169" t="s">
        <v>817</v>
      </c>
    </row>
    <row r="102" spans="1:14" ht="15">
      <c r="A102" s="4" t="s">
        <v>613</v>
      </c>
      <c r="B102" s="4" t="s">
        <v>195</v>
      </c>
      <c r="C102" s="330" t="s">
        <v>816</v>
      </c>
      <c r="D102" s="331">
        <v>44</v>
      </c>
      <c r="E102" s="331">
        <v>4.4000000000000004</v>
      </c>
      <c r="F102" s="331">
        <v>5</v>
      </c>
      <c r="G102" s="331">
        <v>43</v>
      </c>
      <c r="H102" s="331">
        <v>1.5</v>
      </c>
      <c r="I102" s="331"/>
      <c r="J102" s="165" t="s">
        <v>1105</v>
      </c>
      <c r="K102" s="165">
        <v>5.8590545799999996</v>
      </c>
      <c r="L102" s="165">
        <v>1.5</v>
      </c>
      <c r="M102" s="167">
        <v>25</v>
      </c>
      <c r="N102" s="166" t="s">
        <v>817</v>
      </c>
    </row>
    <row r="103" spans="1:14" ht="15">
      <c r="A103" s="4" t="s">
        <v>522</v>
      </c>
      <c r="B103" s="4" t="s">
        <v>742</v>
      </c>
      <c r="C103" s="330" t="s">
        <v>816</v>
      </c>
      <c r="D103" s="331">
        <v>3.8</v>
      </c>
      <c r="E103" s="331">
        <v>0.21</v>
      </c>
      <c r="F103" s="331">
        <v>2.4</v>
      </c>
      <c r="G103" s="331">
        <v>3.5</v>
      </c>
      <c r="H103" s="331">
        <v>0</v>
      </c>
      <c r="I103" s="331"/>
      <c r="J103" s="165" t="s">
        <v>1105</v>
      </c>
      <c r="K103" s="165">
        <v>67.860581999999994</v>
      </c>
      <c r="L103" s="165">
        <v>5</v>
      </c>
      <c r="M103" s="167">
        <v>200</v>
      </c>
      <c r="N103" s="166" t="s">
        <v>817</v>
      </c>
    </row>
    <row r="104" spans="1:14" ht="15">
      <c r="A104" s="4" t="s">
        <v>375</v>
      </c>
      <c r="B104" s="4" t="s">
        <v>744</v>
      </c>
      <c r="C104" s="330" t="s">
        <v>816</v>
      </c>
      <c r="D104" s="331">
        <v>1.1000000000000001</v>
      </c>
      <c r="E104" s="331">
        <v>0.04</v>
      </c>
      <c r="F104" s="331">
        <v>0</v>
      </c>
      <c r="G104" s="331">
        <v>2.7</v>
      </c>
      <c r="H104" s="331">
        <v>7.3</v>
      </c>
      <c r="I104" s="331"/>
      <c r="J104" s="165" t="s">
        <v>1105</v>
      </c>
      <c r="K104" s="165">
        <v>311.911745</v>
      </c>
      <c r="L104" s="165">
        <v>3.5779640700000002</v>
      </c>
      <c r="M104" s="169">
        <v>500</v>
      </c>
      <c r="N104" s="169" t="s">
        <v>817</v>
      </c>
    </row>
    <row r="105" spans="1:14" ht="15">
      <c r="A105" s="4" t="s">
        <v>47</v>
      </c>
      <c r="B105" s="4" t="s">
        <v>197</v>
      </c>
      <c r="C105" s="330" t="s">
        <v>816</v>
      </c>
      <c r="D105" s="331">
        <v>70</v>
      </c>
      <c r="E105" s="331">
        <v>2.8</v>
      </c>
      <c r="F105" s="331">
        <v>70</v>
      </c>
      <c r="G105" s="331">
        <v>70</v>
      </c>
      <c r="H105" s="331">
        <v>7.7</v>
      </c>
      <c r="I105" s="331"/>
      <c r="J105" s="165" t="s">
        <v>1105</v>
      </c>
      <c r="K105" s="165">
        <v>5.2394072500000002</v>
      </c>
      <c r="L105" s="165">
        <v>2</v>
      </c>
      <c r="M105" s="169">
        <v>15</v>
      </c>
      <c r="N105" s="169" t="s">
        <v>817</v>
      </c>
    </row>
    <row r="106" spans="1:14" ht="15">
      <c r="A106" s="4" t="s">
        <v>675</v>
      </c>
      <c r="B106" s="4" t="s">
        <v>199</v>
      </c>
      <c r="C106" s="330" t="s">
        <v>816</v>
      </c>
      <c r="D106" s="331">
        <v>70</v>
      </c>
      <c r="E106" s="331">
        <v>2.8</v>
      </c>
      <c r="F106" s="331">
        <v>20</v>
      </c>
      <c r="G106" s="331">
        <v>70</v>
      </c>
      <c r="H106" s="331">
        <v>5</v>
      </c>
      <c r="I106" s="331"/>
      <c r="J106" s="165" t="s">
        <v>1105</v>
      </c>
      <c r="K106" s="165">
        <v>6.6722599699999998</v>
      </c>
      <c r="L106" s="165">
        <v>2</v>
      </c>
      <c r="M106" s="169">
        <v>15</v>
      </c>
      <c r="N106" s="169" t="s">
        <v>817</v>
      </c>
    </row>
    <row r="107" spans="1:14" ht="15">
      <c r="A107" s="4" t="s">
        <v>773</v>
      </c>
      <c r="B107" s="4" t="s">
        <v>1733</v>
      </c>
      <c r="C107" s="330" t="s">
        <v>816</v>
      </c>
      <c r="D107" s="331">
        <v>4</v>
      </c>
      <c r="E107" s="331">
        <v>0</v>
      </c>
      <c r="F107" s="331">
        <v>3</v>
      </c>
      <c r="G107" s="331">
        <v>11</v>
      </c>
      <c r="H107" s="331">
        <v>1</v>
      </c>
      <c r="I107" s="331">
        <v>30</v>
      </c>
      <c r="J107" s="165" t="s">
        <v>807</v>
      </c>
      <c r="K107" s="165">
        <v>25</v>
      </c>
      <c r="L107" s="165">
        <v>3</v>
      </c>
      <c r="M107" s="169">
        <v>25</v>
      </c>
      <c r="N107" s="169" t="s">
        <v>817</v>
      </c>
    </row>
    <row r="108" spans="1:14" ht="15">
      <c r="A108" s="4" t="s">
        <v>670</v>
      </c>
      <c r="B108" s="4" t="s">
        <v>1734</v>
      </c>
      <c r="C108" s="330" t="s">
        <v>816</v>
      </c>
      <c r="D108" s="331">
        <v>8.4</v>
      </c>
      <c r="E108" s="331">
        <v>2.5</v>
      </c>
      <c r="F108" s="331">
        <v>7.5</v>
      </c>
      <c r="G108" s="331">
        <v>10.8</v>
      </c>
      <c r="H108" s="331">
        <v>2</v>
      </c>
      <c r="I108" s="331">
        <v>30</v>
      </c>
      <c r="J108" s="165" t="s">
        <v>807</v>
      </c>
      <c r="K108" s="165">
        <v>14.2376814</v>
      </c>
      <c r="L108" s="165">
        <v>3</v>
      </c>
      <c r="M108" s="169">
        <v>25</v>
      </c>
      <c r="N108" s="169" t="s">
        <v>817</v>
      </c>
    </row>
    <row r="109" spans="1:14" ht="15">
      <c r="A109" s="4" t="s">
        <v>671</v>
      </c>
      <c r="B109" s="4" t="s">
        <v>376</v>
      </c>
      <c r="C109" s="330" t="s">
        <v>816</v>
      </c>
      <c r="D109" s="331">
        <v>60</v>
      </c>
      <c r="E109" s="331">
        <v>0</v>
      </c>
      <c r="F109" s="331">
        <v>20</v>
      </c>
      <c r="G109" s="331">
        <v>50</v>
      </c>
      <c r="H109" s="331">
        <v>20</v>
      </c>
      <c r="I109" s="331"/>
      <c r="J109" s="165" t="s">
        <v>1105</v>
      </c>
      <c r="K109" s="165">
        <v>4.8337200300000003</v>
      </c>
      <c r="L109" s="165">
        <v>2</v>
      </c>
      <c r="M109" s="169">
        <v>15</v>
      </c>
      <c r="N109" s="169" t="s">
        <v>817</v>
      </c>
    </row>
    <row r="110" spans="1:14" ht="15">
      <c r="A110" s="4" t="s">
        <v>683</v>
      </c>
      <c r="B110" s="4" t="s">
        <v>1735</v>
      </c>
      <c r="C110" s="330" t="s">
        <v>816</v>
      </c>
      <c r="D110" s="331">
        <v>34.25</v>
      </c>
      <c r="E110" s="331">
        <v>0</v>
      </c>
      <c r="F110" s="331">
        <v>9.7100000000000009</v>
      </c>
      <c r="G110" s="331">
        <v>12.3</v>
      </c>
      <c r="H110" s="331">
        <v>1.29</v>
      </c>
      <c r="I110" s="331">
        <v>30</v>
      </c>
      <c r="J110" s="165" t="s">
        <v>1105</v>
      </c>
      <c r="K110" s="165">
        <v>12.122546399999999</v>
      </c>
      <c r="L110" s="165">
        <v>6</v>
      </c>
      <c r="M110" s="169">
        <v>15</v>
      </c>
      <c r="N110" s="169" t="s">
        <v>817</v>
      </c>
    </row>
    <row r="111" spans="1:14" ht="15">
      <c r="A111" s="4" t="s">
        <v>672</v>
      </c>
      <c r="B111" s="4" t="s">
        <v>1736</v>
      </c>
      <c r="C111" s="330" t="s">
        <v>816</v>
      </c>
      <c r="D111" s="331">
        <v>35</v>
      </c>
      <c r="E111" s="331">
        <v>0</v>
      </c>
      <c r="F111" s="331">
        <v>9.85</v>
      </c>
      <c r="G111" s="331">
        <v>12.77</v>
      </c>
      <c r="H111" s="331">
        <v>2.16</v>
      </c>
      <c r="I111" s="331">
        <v>30</v>
      </c>
      <c r="J111" s="165" t="s">
        <v>1105</v>
      </c>
      <c r="K111" s="165">
        <v>10</v>
      </c>
      <c r="L111" s="165">
        <v>6</v>
      </c>
      <c r="M111" s="169">
        <v>15</v>
      </c>
      <c r="N111" s="169" t="s">
        <v>817</v>
      </c>
    </row>
    <row r="112" spans="1:14" ht="15">
      <c r="A112" s="4" t="s">
        <v>673</v>
      </c>
      <c r="B112" s="4" t="s">
        <v>1737</v>
      </c>
      <c r="C112" s="330" t="s">
        <v>816</v>
      </c>
      <c r="D112" s="331">
        <v>34.25</v>
      </c>
      <c r="E112" s="331">
        <v>0</v>
      </c>
      <c r="F112" s="331">
        <v>9.7100000000000009</v>
      </c>
      <c r="G112" s="331">
        <v>12.3</v>
      </c>
      <c r="H112" s="331">
        <v>1.29</v>
      </c>
      <c r="I112" s="331">
        <v>30</v>
      </c>
      <c r="J112" s="165" t="s">
        <v>1105</v>
      </c>
      <c r="K112" s="165">
        <v>12.122546399999999</v>
      </c>
      <c r="L112" s="165">
        <v>6</v>
      </c>
      <c r="M112" s="169">
        <v>15</v>
      </c>
      <c r="N112" s="169" t="s">
        <v>817</v>
      </c>
    </row>
    <row r="113" spans="1:14" ht="15">
      <c r="A113" s="4" t="s">
        <v>48</v>
      </c>
      <c r="B113" s="4" t="s">
        <v>1738</v>
      </c>
      <c r="C113" s="330" t="s">
        <v>816</v>
      </c>
      <c r="D113" s="331">
        <v>2.5</v>
      </c>
      <c r="E113" s="331">
        <v>0</v>
      </c>
      <c r="F113" s="331">
        <v>1.1499999999999999</v>
      </c>
      <c r="G113" s="331">
        <v>6.03</v>
      </c>
      <c r="H113" s="331">
        <v>1.66</v>
      </c>
      <c r="I113" s="331">
        <v>50</v>
      </c>
      <c r="J113" s="165" t="s">
        <v>1105</v>
      </c>
      <c r="K113" s="165">
        <v>20</v>
      </c>
      <c r="L113" s="165">
        <v>3.58</v>
      </c>
      <c r="M113" s="169">
        <v>200</v>
      </c>
      <c r="N113" s="169" t="s">
        <v>817</v>
      </c>
    </row>
    <row r="114" spans="1:14" ht="15">
      <c r="A114" s="4" t="s">
        <v>49</v>
      </c>
      <c r="B114" s="4" t="s">
        <v>1739</v>
      </c>
      <c r="C114" s="330" t="s">
        <v>816</v>
      </c>
      <c r="D114" s="331">
        <v>2.5</v>
      </c>
      <c r="E114" s="331">
        <v>0</v>
      </c>
      <c r="F114" s="331">
        <v>1.1499999999999999</v>
      </c>
      <c r="G114" s="331">
        <v>6.03</v>
      </c>
      <c r="H114" s="331">
        <v>1.66</v>
      </c>
      <c r="I114" s="331">
        <v>50</v>
      </c>
      <c r="J114" s="165" t="s">
        <v>1105</v>
      </c>
      <c r="K114" s="165">
        <v>20</v>
      </c>
      <c r="L114" s="165">
        <v>3.58</v>
      </c>
      <c r="M114" s="169">
        <v>200</v>
      </c>
      <c r="N114" s="169" t="s">
        <v>817</v>
      </c>
    </row>
    <row r="115" spans="1:14" ht="15">
      <c r="A115" s="4" t="s">
        <v>328</v>
      </c>
      <c r="B115" s="4" t="s">
        <v>1740</v>
      </c>
      <c r="C115" s="330" t="s">
        <v>816</v>
      </c>
      <c r="D115" s="331">
        <v>65</v>
      </c>
      <c r="E115" s="331">
        <v>0</v>
      </c>
      <c r="F115" s="331">
        <v>50.41</v>
      </c>
      <c r="G115" s="331">
        <v>10</v>
      </c>
      <c r="H115" s="331">
        <v>5.97</v>
      </c>
      <c r="I115" s="331"/>
      <c r="J115" s="165" t="s">
        <v>1105</v>
      </c>
      <c r="K115" s="165">
        <v>6</v>
      </c>
      <c r="L115" s="165">
        <v>6</v>
      </c>
      <c r="M115" s="169">
        <v>25</v>
      </c>
      <c r="N115" s="169" t="s">
        <v>817</v>
      </c>
    </row>
    <row r="116" spans="1:14" ht="15">
      <c r="A116" s="4" t="s">
        <v>533</v>
      </c>
      <c r="B116" s="4" t="s">
        <v>1741</v>
      </c>
      <c r="C116" s="330" t="s">
        <v>816</v>
      </c>
      <c r="D116" s="331">
        <v>5</v>
      </c>
      <c r="E116" s="331">
        <v>0</v>
      </c>
      <c r="F116" s="331">
        <v>1.37</v>
      </c>
      <c r="G116" s="331">
        <v>4.82</v>
      </c>
      <c r="H116" s="331">
        <v>0.5</v>
      </c>
      <c r="I116" s="331"/>
      <c r="J116" s="165" t="s">
        <v>1105</v>
      </c>
      <c r="K116" s="165">
        <v>13</v>
      </c>
      <c r="L116" s="165">
        <v>3.58</v>
      </c>
      <c r="M116" s="169">
        <v>200</v>
      </c>
      <c r="N116" s="169" t="s">
        <v>817</v>
      </c>
    </row>
    <row r="117" spans="1:14" ht="15">
      <c r="A117" s="4" t="s">
        <v>50</v>
      </c>
      <c r="B117" s="4" t="s">
        <v>1742</v>
      </c>
      <c r="C117" s="330" t="s">
        <v>816</v>
      </c>
      <c r="D117" s="331">
        <v>4.5999999999999996</v>
      </c>
      <c r="E117" s="331">
        <v>0</v>
      </c>
      <c r="F117" s="331">
        <v>1.37</v>
      </c>
      <c r="G117" s="331">
        <v>4.82</v>
      </c>
      <c r="H117" s="331">
        <v>0.5</v>
      </c>
      <c r="I117" s="331"/>
      <c r="J117" s="165" t="s">
        <v>1105</v>
      </c>
      <c r="K117" s="165">
        <v>13.0006053</v>
      </c>
      <c r="L117" s="165">
        <v>3.58</v>
      </c>
      <c r="M117" s="169">
        <v>200</v>
      </c>
      <c r="N117" s="169" t="s">
        <v>817</v>
      </c>
    </row>
    <row r="118" spans="1:14" ht="15">
      <c r="A118" s="4" t="s">
        <v>51</v>
      </c>
      <c r="B118" s="4" t="s">
        <v>1743</v>
      </c>
      <c r="C118" s="330" t="s">
        <v>816</v>
      </c>
      <c r="D118" s="331">
        <v>124.04</v>
      </c>
      <c r="E118" s="331">
        <v>0</v>
      </c>
      <c r="F118" s="331">
        <v>4.26</v>
      </c>
      <c r="G118" s="331">
        <v>2.13</v>
      </c>
      <c r="H118" s="331">
        <v>0.44</v>
      </c>
      <c r="I118" s="331">
        <v>70</v>
      </c>
      <c r="J118" s="165" t="s">
        <v>1105</v>
      </c>
      <c r="K118" s="165">
        <v>3.6499808100000002</v>
      </c>
      <c r="L118" s="165">
        <v>2</v>
      </c>
      <c r="M118" s="169">
        <v>10</v>
      </c>
      <c r="N118" s="169" t="s">
        <v>817</v>
      </c>
    </row>
    <row r="119" spans="1:14" ht="15">
      <c r="A119" s="4" t="s">
        <v>590</v>
      </c>
      <c r="B119" s="4" t="s">
        <v>1744</v>
      </c>
      <c r="C119" s="330" t="s">
        <v>816</v>
      </c>
      <c r="D119" s="331">
        <v>124.04</v>
      </c>
      <c r="E119" s="331">
        <v>0</v>
      </c>
      <c r="F119" s="331">
        <v>4.26</v>
      </c>
      <c r="G119" s="331">
        <v>2.13</v>
      </c>
      <c r="H119" s="331">
        <v>0.44</v>
      </c>
      <c r="I119" s="331">
        <v>70</v>
      </c>
      <c r="J119" s="165" t="s">
        <v>1105</v>
      </c>
      <c r="K119" s="165">
        <v>3.6499808100000002</v>
      </c>
      <c r="L119" s="165">
        <v>2</v>
      </c>
      <c r="M119" s="169">
        <v>10</v>
      </c>
      <c r="N119" s="169" t="s">
        <v>817</v>
      </c>
    </row>
    <row r="120" spans="1:14" ht="15">
      <c r="A120" s="4" t="s">
        <v>544</v>
      </c>
      <c r="B120" s="4" t="s">
        <v>329</v>
      </c>
      <c r="C120" s="330" t="s">
        <v>816</v>
      </c>
      <c r="D120" s="331">
        <v>50</v>
      </c>
      <c r="E120" s="331">
        <v>0</v>
      </c>
      <c r="F120" s="331">
        <v>0</v>
      </c>
      <c r="G120" s="331">
        <v>0</v>
      </c>
      <c r="H120" s="331">
        <v>0</v>
      </c>
      <c r="I120" s="331"/>
      <c r="J120" s="165" t="s">
        <v>1105</v>
      </c>
      <c r="K120" s="165">
        <v>8.5</v>
      </c>
      <c r="L120" s="165">
        <v>5</v>
      </c>
      <c r="M120" s="169">
        <v>50</v>
      </c>
      <c r="N120" s="169" t="s">
        <v>817</v>
      </c>
    </row>
    <row r="121" spans="1:14" ht="15">
      <c r="A121" s="4" t="s">
        <v>687</v>
      </c>
      <c r="B121" s="4" t="s">
        <v>1745</v>
      </c>
      <c r="C121" s="330" t="s">
        <v>816</v>
      </c>
      <c r="D121" s="331">
        <v>16</v>
      </c>
      <c r="E121" s="331">
        <v>0</v>
      </c>
      <c r="F121" s="331">
        <v>6</v>
      </c>
      <c r="G121" s="331">
        <v>24</v>
      </c>
      <c r="H121" s="331">
        <v>2.5</v>
      </c>
      <c r="I121" s="331">
        <v>80</v>
      </c>
      <c r="J121" s="165" t="s">
        <v>1105</v>
      </c>
      <c r="K121" s="165">
        <v>10</v>
      </c>
      <c r="L121" s="165">
        <v>5</v>
      </c>
      <c r="M121" s="169">
        <v>50</v>
      </c>
      <c r="N121" s="169" t="s">
        <v>817</v>
      </c>
    </row>
    <row r="122" spans="1:14" ht="15">
      <c r="A122" s="4" t="s">
        <v>688</v>
      </c>
      <c r="B122" s="4" t="s">
        <v>1746</v>
      </c>
      <c r="C122" s="330" t="s">
        <v>816</v>
      </c>
      <c r="D122" s="331">
        <v>91.7</v>
      </c>
      <c r="E122" s="331">
        <v>1.21</v>
      </c>
      <c r="F122" s="331">
        <v>52.53</v>
      </c>
      <c r="G122" s="331">
        <v>9.81</v>
      </c>
      <c r="H122" s="331">
        <v>3.95</v>
      </c>
      <c r="I122" s="331">
        <v>70</v>
      </c>
      <c r="J122" s="165" t="s">
        <v>1105</v>
      </c>
      <c r="K122" s="165">
        <v>4.1142975399999999</v>
      </c>
      <c r="L122" s="165">
        <v>3.44</v>
      </c>
      <c r="M122" s="169">
        <v>10</v>
      </c>
      <c r="N122" s="169" t="s">
        <v>817</v>
      </c>
    </row>
    <row r="123" spans="1:14" ht="15">
      <c r="A123" s="4" t="s">
        <v>52</v>
      </c>
      <c r="B123" s="4" t="s">
        <v>1747</v>
      </c>
      <c r="C123" s="330" t="s">
        <v>816</v>
      </c>
      <c r="D123" s="331">
        <v>91.7</v>
      </c>
      <c r="E123" s="331">
        <v>1.21</v>
      </c>
      <c r="F123" s="331">
        <v>52.53</v>
      </c>
      <c r="G123" s="331">
        <v>9.81</v>
      </c>
      <c r="H123" s="331">
        <v>3.95</v>
      </c>
      <c r="I123" s="331">
        <v>70</v>
      </c>
      <c r="J123" s="165" t="s">
        <v>1105</v>
      </c>
      <c r="K123" s="165">
        <v>4.1142975399999999</v>
      </c>
      <c r="L123" s="165">
        <v>3.44</v>
      </c>
      <c r="M123" s="169">
        <v>10</v>
      </c>
      <c r="N123" s="169" t="s">
        <v>817</v>
      </c>
    </row>
    <row r="124" spans="1:14" ht="15">
      <c r="A124" s="4" t="s">
        <v>133</v>
      </c>
      <c r="B124" s="4" t="s">
        <v>1748</v>
      </c>
      <c r="C124" s="330" t="s">
        <v>816</v>
      </c>
      <c r="D124" s="331">
        <v>70</v>
      </c>
      <c r="E124" s="331">
        <v>5</v>
      </c>
      <c r="F124" s="331">
        <v>65</v>
      </c>
      <c r="G124" s="331">
        <v>3</v>
      </c>
      <c r="H124" s="331">
        <v>0</v>
      </c>
      <c r="I124" s="331">
        <v>70</v>
      </c>
      <c r="J124" s="165" t="s">
        <v>1105</v>
      </c>
      <c r="K124" s="165">
        <v>6.4615384599999999</v>
      </c>
      <c r="L124" s="165">
        <v>3</v>
      </c>
      <c r="M124" s="169">
        <v>20</v>
      </c>
      <c r="N124" s="169" t="s">
        <v>817</v>
      </c>
    </row>
    <row r="125" spans="1:14" ht="15">
      <c r="A125" s="4" t="s">
        <v>200</v>
      </c>
      <c r="B125" s="4" t="s">
        <v>1749</v>
      </c>
      <c r="C125" s="330" t="s">
        <v>816</v>
      </c>
      <c r="D125" s="331">
        <v>50</v>
      </c>
      <c r="E125" s="331">
        <v>3.75</v>
      </c>
      <c r="F125" s="331">
        <v>165</v>
      </c>
      <c r="G125" s="331">
        <v>3.5</v>
      </c>
      <c r="H125" s="331">
        <v>4.9000000000000004</v>
      </c>
      <c r="I125" s="331">
        <v>70</v>
      </c>
      <c r="J125" s="165" t="s">
        <v>1105</v>
      </c>
      <c r="K125" s="165">
        <v>8.6486486500000002</v>
      </c>
      <c r="L125" s="165">
        <v>3</v>
      </c>
      <c r="M125" s="169">
        <v>20</v>
      </c>
      <c r="N125" s="169" t="s">
        <v>817</v>
      </c>
    </row>
    <row r="126" spans="1:14" ht="15">
      <c r="A126" s="4" t="s">
        <v>521</v>
      </c>
      <c r="B126" s="4" t="s">
        <v>1750</v>
      </c>
      <c r="C126" s="330" t="s">
        <v>816</v>
      </c>
      <c r="D126" s="331">
        <v>70</v>
      </c>
      <c r="E126" s="331">
        <v>4.5</v>
      </c>
      <c r="F126" s="331">
        <v>149</v>
      </c>
      <c r="G126" s="331">
        <v>3.62</v>
      </c>
      <c r="H126" s="331">
        <v>4.3099999999999996</v>
      </c>
      <c r="I126" s="331">
        <v>70</v>
      </c>
      <c r="J126" s="165" t="s">
        <v>1105</v>
      </c>
      <c r="K126" s="165">
        <v>5.8778626000000003</v>
      </c>
      <c r="L126" s="165">
        <v>3</v>
      </c>
      <c r="M126" s="167">
        <v>20</v>
      </c>
      <c r="N126" s="166" t="s">
        <v>817</v>
      </c>
    </row>
    <row r="127" spans="1:14" ht="15">
      <c r="A127" s="4" t="s">
        <v>458</v>
      </c>
      <c r="B127" s="4" t="s">
        <v>1751</v>
      </c>
      <c r="C127" s="330" t="s">
        <v>816</v>
      </c>
      <c r="D127" s="331">
        <v>70</v>
      </c>
      <c r="E127" s="331">
        <v>4.2</v>
      </c>
      <c r="F127" s="331">
        <v>149</v>
      </c>
      <c r="G127" s="331">
        <v>3.62</v>
      </c>
      <c r="H127" s="331">
        <v>4.3099999999999996</v>
      </c>
      <c r="I127" s="331">
        <v>70</v>
      </c>
      <c r="J127" s="165" t="s">
        <v>1105</v>
      </c>
      <c r="K127" s="165">
        <v>5.8510638300000002</v>
      </c>
      <c r="L127" s="165">
        <v>3</v>
      </c>
      <c r="M127" s="169">
        <v>20</v>
      </c>
      <c r="N127" s="169" t="s">
        <v>817</v>
      </c>
    </row>
    <row r="128" spans="1:14" ht="15">
      <c r="A128" s="4" t="s">
        <v>460</v>
      </c>
      <c r="B128" s="4" t="s">
        <v>1752</v>
      </c>
      <c r="C128" s="330" t="s">
        <v>816</v>
      </c>
      <c r="D128" s="331">
        <v>83.94</v>
      </c>
      <c r="E128" s="331">
        <v>6.3</v>
      </c>
      <c r="F128" s="331">
        <v>84.1</v>
      </c>
      <c r="G128" s="331">
        <v>5.57</v>
      </c>
      <c r="H128" s="331">
        <v>4.63</v>
      </c>
      <c r="I128" s="331">
        <v>70</v>
      </c>
      <c r="J128" s="165" t="s">
        <v>1105</v>
      </c>
      <c r="K128" s="165">
        <v>5.2783923899999996</v>
      </c>
      <c r="L128" s="165">
        <v>3</v>
      </c>
      <c r="M128" s="169">
        <v>20</v>
      </c>
      <c r="N128" s="169" t="s">
        <v>817</v>
      </c>
    </row>
    <row r="129" spans="1:14" ht="15">
      <c r="A129" s="4" t="s">
        <v>462</v>
      </c>
      <c r="B129" s="4" t="s">
        <v>134</v>
      </c>
      <c r="C129" s="330" t="s">
        <v>816</v>
      </c>
      <c r="D129" s="331">
        <v>12.5</v>
      </c>
      <c r="E129" s="331">
        <v>1.25</v>
      </c>
      <c r="F129" s="331">
        <v>1.5</v>
      </c>
      <c r="G129" s="331">
        <v>230</v>
      </c>
      <c r="H129" s="331">
        <v>0</v>
      </c>
      <c r="I129" s="331"/>
      <c r="J129" s="165" t="s">
        <v>1105</v>
      </c>
      <c r="K129" s="165">
        <v>16.756896099999999</v>
      </c>
      <c r="L129" s="165">
        <v>1.5</v>
      </c>
      <c r="M129" s="169">
        <v>25</v>
      </c>
      <c r="N129" s="169" t="s">
        <v>817</v>
      </c>
    </row>
    <row r="130" spans="1:14" ht="15">
      <c r="A130" s="4" t="s">
        <v>731</v>
      </c>
      <c r="B130" s="4" t="s">
        <v>201</v>
      </c>
      <c r="C130" s="330" t="s">
        <v>816</v>
      </c>
      <c r="D130" s="331">
        <v>100</v>
      </c>
      <c r="E130" s="331">
        <v>0</v>
      </c>
      <c r="F130" s="331">
        <v>0</v>
      </c>
      <c r="G130" s="331">
        <v>50</v>
      </c>
      <c r="H130" s="331">
        <v>0</v>
      </c>
      <c r="I130" s="331"/>
      <c r="J130" s="165" t="s">
        <v>1105</v>
      </c>
      <c r="K130" s="165">
        <v>4.9303944299999998</v>
      </c>
      <c r="L130" s="165">
        <v>2</v>
      </c>
      <c r="M130" s="169">
        <v>10</v>
      </c>
      <c r="N130" s="169" t="s">
        <v>817</v>
      </c>
    </row>
    <row r="131" spans="1:14" ht="15">
      <c r="A131" s="4" t="s">
        <v>356</v>
      </c>
      <c r="B131" s="4" t="s">
        <v>1753</v>
      </c>
      <c r="C131" s="330" t="s">
        <v>816</v>
      </c>
      <c r="D131" s="331">
        <v>9</v>
      </c>
      <c r="E131" s="331">
        <v>2.7</v>
      </c>
      <c r="F131" s="331">
        <v>8.9</v>
      </c>
      <c r="G131" s="331">
        <v>11.2</v>
      </c>
      <c r="H131" s="331">
        <v>2</v>
      </c>
      <c r="I131" s="331">
        <v>30</v>
      </c>
      <c r="J131" s="165" t="s">
        <v>807</v>
      </c>
      <c r="K131" s="165">
        <v>14.2857143</v>
      </c>
      <c r="L131" s="165">
        <v>3</v>
      </c>
      <c r="M131" s="169">
        <v>25</v>
      </c>
      <c r="N131" s="169" t="s">
        <v>817</v>
      </c>
    </row>
    <row r="132" spans="1:14" ht="15">
      <c r="A132" s="4" t="s">
        <v>614</v>
      </c>
      <c r="B132" s="4" t="s">
        <v>459</v>
      </c>
      <c r="C132" s="330" t="s">
        <v>816</v>
      </c>
      <c r="D132" s="331">
        <v>60</v>
      </c>
      <c r="E132" s="331">
        <v>3</v>
      </c>
      <c r="F132" s="331">
        <v>20</v>
      </c>
      <c r="G132" s="331">
        <v>30</v>
      </c>
      <c r="H132" s="331">
        <v>1</v>
      </c>
      <c r="I132" s="331"/>
      <c r="J132" s="165" t="s">
        <v>1105</v>
      </c>
      <c r="K132" s="165">
        <v>3.0528758100000002</v>
      </c>
      <c r="L132" s="165">
        <v>1.5</v>
      </c>
      <c r="M132" s="167">
        <v>25</v>
      </c>
      <c r="N132" s="166" t="s">
        <v>817</v>
      </c>
    </row>
    <row r="133" spans="1:14" ht="15">
      <c r="A133" s="4" t="s">
        <v>545</v>
      </c>
      <c r="B133" s="4" t="s">
        <v>461</v>
      </c>
      <c r="C133" s="330" t="s">
        <v>816</v>
      </c>
      <c r="D133" s="331">
        <v>90</v>
      </c>
      <c r="E133" s="331">
        <v>4.5</v>
      </c>
      <c r="F133" s="331">
        <v>0</v>
      </c>
      <c r="G133" s="331">
        <v>0</v>
      </c>
      <c r="H133" s="331">
        <v>1</v>
      </c>
      <c r="I133" s="331"/>
      <c r="J133" s="165" t="s">
        <v>1105</v>
      </c>
      <c r="K133" s="165">
        <v>3.0528758100000002</v>
      </c>
      <c r="L133" s="165">
        <v>1.5</v>
      </c>
      <c r="M133" s="167">
        <v>25</v>
      </c>
      <c r="N133" s="166" t="s">
        <v>817</v>
      </c>
    </row>
    <row r="134" spans="1:14" ht="15">
      <c r="A134" s="4" t="s">
        <v>377</v>
      </c>
      <c r="B134" s="4" t="s">
        <v>463</v>
      </c>
      <c r="C134" s="330" t="s">
        <v>816</v>
      </c>
      <c r="D134" s="331">
        <v>45</v>
      </c>
      <c r="E134" s="331">
        <v>0</v>
      </c>
      <c r="F134" s="331">
        <v>2</v>
      </c>
      <c r="G134" s="331">
        <v>50</v>
      </c>
      <c r="H134" s="331">
        <v>1</v>
      </c>
      <c r="I134" s="331"/>
      <c r="J134" s="165" t="s">
        <v>1105</v>
      </c>
      <c r="K134" s="165">
        <v>5.8004640399999996</v>
      </c>
      <c r="L134" s="165">
        <v>1.5</v>
      </c>
      <c r="M134" s="169">
        <v>25</v>
      </c>
      <c r="N134" s="169" t="s">
        <v>817</v>
      </c>
    </row>
    <row r="135" spans="1:14" ht="15">
      <c r="A135" s="4" t="s">
        <v>379</v>
      </c>
      <c r="B135" s="4" t="s">
        <v>732</v>
      </c>
      <c r="C135" s="330" t="s">
        <v>816</v>
      </c>
      <c r="D135" s="331">
        <v>22.2</v>
      </c>
      <c r="E135" s="331">
        <v>0.89</v>
      </c>
      <c r="F135" s="331">
        <v>0</v>
      </c>
      <c r="G135" s="331">
        <v>8.6999999999999993</v>
      </c>
      <c r="H135" s="331">
        <v>0</v>
      </c>
      <c r="I135" s="331"/>
      <c r="J135" s="165" t="s">
        <v>1105</v>
      </c>
      <c r="K135" s="165">
        <v>16.876056800000001</v>
      </c>
      <c r="L135" s="165">
        <v>3.5779640700000002</v>
      </c>
      <c r="M135" s="169">
        <v>200</v>
      </c>
      <c r="N135" s="169" t="s">
        <v>817</v>
      </c>
    </row>
    <row r="136" spans="1:14" ht="15">
      <c r="A136" s="4" t="s">
        <v>202</v>
      </c>
      <c r="B136" s="4" t="s">
        <v>357</v>
      </c>
      <c r="C136" s="330" t="s">
        <v>816</v>
      </c>
      <c r="D136" s="331">
        <v>30</v>
      </c>
      <c r="E136" s="331">
        <v>0</v>
      </c>
      <c r="F136" s="331">
        <v>0</v>
      </c>
      <c r="G136" s="331">
        <v>100</v>
      </c>
      <c r="H136" s="331">
        <v>0</v>
      </c>
      <c r="I136" s="331"/>
      <c r="J136" s="165" t="s">
        <v>1105</v>
      </c>
      <c r="K136" s="165">
        <v>4</v>
      </c>
      <c r="L136" s="165">
        <v>1.5</v>
      </c>
      <c r="M136" s="169">
        <v>25</v>
      </c>
      <c r="N136" s="169" t="s">
        <v>817</v>
      </c>
    </row>
    <row r="137" spans="1:14" ht="15">
      <c r="A137" s="4" t="s">
        <v>204</v>
      </c>
      <c r="B137" s="4" t="s">
        <v>1754</v>
      </c>
      <c r="C137" s="330" t="s">
        <v>816</v>
      </c>
      <c r="D137" s="331">
        <v>8</v>
      </c>
      <c r="E137" s="331">
        <v>0</v>
      </c>
      <c r="F137" s="331">
        <v>6</v>
      </c>
      <c r="G137" s="331">
        <v>11</v>
      </c>
      <c r="H137" s="331">
        <v>2</v>
      </c>
      <c r="I137" s="331">
        <v>30</v>
      </c>
      <c r="J137" s="165" t="s">
        <v>807</v>
      </c>
      <c r="K137" s="165">
        <v>10</v>
      </c>
      <c r="L137" s="165">
        <v>3</v>
      </c>
      <c r="M137" s="169">
        <v>25</v>
      </c>
      <c r="N137" s="169" t="s">
        <v>817</v>
      </c>
    </row>
    <row r="138" spans="1:14" ht="15">
      <c r="A138" s="4" t="s">
        <v>381</v>
      </c>
      <c r="B138" s="4" t="s">
        <v>1755</v>
      </c>
      <c r="C138" s="330" t="s">
        <v>814</v>
      </c>
      <c r="D138" s="331">
        <v>4.5</v>
      </c>
      <c r="E138" s="331">
        <v>2.7</v>
      </c>
      <c r="F138" s="331">
        <v>1.9</v>
      </c>
      <c r="G138" s="331">
        <v>4.4000000000000004</v>
      </c>
      <c r="H138" s="331">
        <v>0</v>
      </c>
      <c r="I138" s="331">
        <v>60</v>
      </c>
      <c r="J138" s="165" t="s">
        <v>798</v>
      </c>
      <c r="K138" s="165">
        <v>15.0006445</v>
      </c>
      <c r="L138" s="165">
        <v>3</v>
      </c>
      <c r="M138" s="169">
        <v>200</v>
      </c>
      <c r="N138" s="169" t="s">
        <v>817</v>
      </c>
    </row>
    <row r="139" spans="1:14" ht="15">
      <c r="A139" s="4" t="s">
        <v>383</v>
      </c>
      <c r="B139" s="4" t="s">
        <v>378</v>
      </c>
      <c r="C139" s="330" t="s">
        <v>816</v>
      </c>
      <c r="D139" s="331">
        <v>60</v>
      </c>
      <c r="E139" s="331">
        <v>0</v>
      </c>
      <c r="F139" s="331">
        <v>30</v>
      </c>
      <c r="G139" s="331">
        <v>80</v>
      </c>
      <c r="H139" s="331">
        <v>20</v>
      </c>
      <c r="I139" s="331"/>
      <c r="J139" s="165" t="s">
        <v>1105</v>
      </c>
      <c r="K139" s="165">
        <v>4.9303944299999998</v>
      </c>
      <c r="L139" s="165">
        <v>2</v>
      </c>
      <c r="M139" s="169">
        <v>15</v>
      </c>
      <c r="N139" s="169" t="s">
        <v>817</v>
      </c>
    </row>
    <row r="140" spans="1:14" ht="15">
      <c r="A140" s="4" t="s">
        <v>385</v>
      </c>
      <c r="B140" s="4" t="s">
        <v>380</v>
      </c>
      <c r="C140" s="330" t="s">
        <v>816</v>
      </c>
      <c r="D140" s="331">
        <v>70</v>
      </c>
      <c r="E140" s="331">
        <v>0</v>
      </c>
      <c r="F140" s="331">
        <v>30</v>
      </c>
      <c r="G140" s="331">
        <v>80</v>
      </c>
      <c r="H140" s="331">
        <v>0</v>
      </c>
      <c r="I140" s="331"/>
      <c r="J140" s="165" t="s">
        <v>1105</v>
      </c>
      <c r="K140" s="165">
        <v>4.5575074600000001</v>
      </c>
      <c r="L140" s="165">
        <v>2</v>
      </c>
      <c r="M140" s="169">
        <v>15</v>
      </c>
      <c r="N140" s="169" t="s">
        <v>817</v>
      </c>
    </row>
    <row r="141" spans="1:14" ht="15">
      <c r="A141" s="4" t="s">
        <v>386</v>
      </c>
      <c r="B141" s="4" t="s">
        <v>203</v>
      </c>
      <c r="C141" s="330" t="s">
        <v>816</v>
      </c>
      <c r="D141" s="331">
        <v>50</v>
      </c>
      <c r="E141" s="331">
        <v>1.25</v>
      </c>
      <c r="F141" s="331">
        <v>40</v>
      </c>
      <c r="G141" s="331">
        <v>80</v>
      </c>
      <c r="H141" s="331">
        <v>30</v>
      </c>
      <c r="I141" s="331"/>
      <c r="J141" s="165" t="s">
        <v>1105</v>
      </c>
      <c r="K141" s="165">
        <v>7.1390326599999998</v>
      </c>
      <c r="L141" s="165">
        <v>3</v>
      </c>
      <c r="M141" s="169">
        <v>25</v>
      </c>
      <c r="N141" s="169" t="s">
        <v>817</v>
      </c>
    </row>
    <row r="142" spans="1:14" ht="15">
      <c r="A142" s="4" t="s">
        <v>388</v>
      </c>
      <c r="B142" s="4" t="s">
        <v>205</v>
      </c>
      <c r="C142" s="330" t="s">
        <v>814</v>
      </c>
      <c r="D142" s="331">
        <v>45</v>
      </c>
      <c r="E142" s="331">
        <v>4.5</v>
      </c>
      <c r="F142" s="331">
        <v>2</v>
      </c>
      <c r="G142" s="331">
        <v>50</v>
      </c>
      <c r="H142" s="331">
        <v>0</v>
      </c>
      <c r="I142" s="331"/>
      <c r="J142" s="165" t="s">
        <v>1105</v>
      </c>
      <c r="K142" s="165">
        <v>7.1610667100000001</v>
      </c>
      <c r="L142" s="165">
        <v>1.5</v>
      </c>
      <c r="M142" s="169">
        <v>25</v>
      </c>
      <c r="N142" s="169" t="s">
        <v>817</v>
      </c>
    </row>
    <row r="143" spans="1:14" ht="15">
      <c r="A143" s="4" t="s">
        <v>342</v>
      </c>
      <c r="B143" s="4" t="s">
        <v>382</v>
      </c>
      <c r="C143" s="330" t="s">
        <v>816</v>
      </c>
      <c r="D143" s="331">
        <v>80</v>
      </c>
      <c r="E143" s="331">
        <v>0</v>
      </c>
      <c r="F143" s="331">
        <v>30</v>
      </c>
      <c r="G143" s="331">
        <v>80</v>
      </c>
      <c r="H143" s="331">
        <v>20</v>
      </c>
      <c r="I143" s="331"/>
      <c r="J143" s="165" t="s">
        <v>1105</v>
      </c>
      <c r="K143" s="165">
        <v>3.7630510400000001</v>
      </c>
      <c r="L143" s="165">
        <v>2</v>
      </c>
      <c r="M143" s="169">
        <v>15</v>
      </c>
      <c r="N143" s="169" t="s">
        <v>817</v>
      </c>
    </row>
    <row r="144" spans="1:14" ht="15">
      <c r="A144" s="4" t="s">
        <v>344</v>
      </c>
      <c r="B144" s="4" t="s">
        <v>384</v>
      </c>
      <c r="C144" s="330" t="s">
        <v>816</v>
      </c>
      <c r="D144" s="331">
        <v>60</v>
      </c>
      <c r="E144" s="331">
        <v>0</v>
      </c>
      <c r="F144" s="331">
        <v>30</v>
      </c>
      <c r="G144" s="331">
        <v>80</v>
      </c>
      <c r="H144" s="331">
        <v>20</v>
      </c>
      <c r="I144" s="331"/>
      <c r="J144" s="165" t="s">
        <v>1105</v>
      </c>
      <c r="K144" s="165">
        <v>4.54369683</v>
      </c>
      <c r="L144" s="165">
        <v>2</v>
      </c>
      <c r="M144" s="169">
        <v>15</v>
      </c>
      <c r="N144" s="169" t="s">
        <v>817</v>
      </c>
    </row>
    <row r="145" spans="1:14" ht="15">
      <c r="A145" s="4" t="s">
        <v>390</v>
      </c>
      <c r="B145" s="4" t="s">
        <v>1756</v>
      </c>
      <c r="C145" s="330" t="s">
        <v>816</v>
      </c>
      <c r="D145" s="331">
        <v>45</v>
      </c>
      <c r="E145" s="331">
        <v>4.5</v>
      </c>
      <c r="F145" s="331">
        <v>2</v>
      </c>
      <c r="G145" s="331">
        <v>75</v>
      </c>
      <c r="H145" s="331">
        <v>0</v>
      </c>
      <c r="I145" s="331"/>
      <c r="J145" s="165" t="s">
        <v>1105</v>
      </c>
      <c r="K145" s="165">
        <v>7.1610667100000001</v>
      </c>
      <c r="L145" s="165">
        <v>1.5</v>
      </c>
      <c r="M145" s="169">
        <v>25</v>
      </c>
      <c r="N145" s="169" t="s">
        <v>817</v>
      </c>
    </row>
    <row r="146" spans="1:14" ht="15">
      <c r="A146" s="4" t="s">
        <v>391</v>
      </c>
      <c r="B146" s="4" t="s">
        <v>387</v>
      </c>
      <c r="C146" s="330" t="s">
        <v>816</v>
      </c>
      <c r="D146" s="331">
        <v>70</v>
      </c>
      <c r="E146" s="331">
        <v>0</v>
      </c>
      <c r="F146" s="331">
        <v>30</v>
      </c>
      <c r="G146" s="331">
        <v>10</v>
      </c>
      <c r="H146" s="331">
        <v>0</v>
      </c>
      <c r="I146" s="331"/>
      <c r="J146" s="165" t="s">
        <v>1105</v>
      </c>
      <c r="K146" s="165">
        <v>7.2920119300000001</v>
      </c>
      <c r="L146" s="165">
        <v>2</v>
      </c>
      <c r="M146" s="169">
        <v>15</v>
      </c>
      <c r="N146" s="169" t="s">
        <v>817</v>
      </c>
    </row>
    <row r="147" spans="1:14" ht="15">
      <c r="A147" s="4" t="s">
        <v>665</v>
      </c>
      <c r="B147" s="4" t="s">
        <v>389</v>
      </c>
      <c r="C147" s="330" t="s">
        <v>816</v>
      </c>
      <c r="D147" s="331">
        <v>60</v>
      </c>
      <c r="E147" s="331">
        <v>0</v>
      </c>
      <c r="F147" s="331">
        <v>30</v>
      </c>
      <c r="G147" s="331">
        <v>80</v>
      </c>
      <c r="H147" s="331">
        <v>20</v>
      </c>
      <c r="I147" s="331"/>
      <c r="J147" s="165" t="s">
        <v>1105</v>
      </c>
      <c r="K147" s="165">
        <v>4.9303944299999998</v>
      </c>
      <c r="L147" s="165">
        <v>2</v>
      </c>
      <c r="M147" s="167">
        <v>15</v>
      </c>
      <c r="N147" s="166" t="s">
        <v>817</v>
      </c>
    </row>
    <row r="148" spans="1:14" ht="15">
      <c r="A148" s="4" t="s">
        <v>666</v>
      </c>
      <c r="B148" s="4" t="s">
        <v>343</v>
      </c>
      <c r="C148" s="330" t="s">
        <v>816</v>
      </c>
      <c r="D148" s="331">
        <v>140</v>
      </c>
      <c r="E148" s="331">
        <v>0</v>
      </c>
      <c r="F148" s="331">
        <v>0</v>
      </c>
      <c r="G148" s="331">
        <v>0</v>
      </c>
      <c r="H148" s="331">
        <v>0</v>
      </c>
      <c r="I148" s="331">
        <v>70</v>
      </c>
      <c r="J148" s="165" t="s">
        <v>1105</v>
      </c>
      <c r="K148" s="165">
        <v>3.9360291699999999</v>
      </c>
      <c r="L148" s="165">
        <v>2</v>
      </c>
      <c r="M148" s="167">
        <v>10</v>
      </c>
      <c r="N148" s="166" t="s">
        <v>817</v>
      </c>
    </row>
    <row r="149" spans="1:14" ht="15">
      <c r="A149" s="4" t="s">
        <v>22</v>
      </c>
      <c r="B149" s="4" t="s">
        <v>345</v>
      </c>
      <c r="C149" s="330" t="s">
        <v>816</v>
      </c>
      <c r="D149" s="331">
        <v>140</v>
      </c>
      <c r="E149" s="331">
        <v>0</v>
      </c>
      <c r="F149" s="331">
        <v>0</v>
      </c>
      <c r="G149" s="331">
        <v>0</v>
      </c>
      <c r="H149" s="331">
        <v>0</v>
      </c>
      <c r="I149" s="331">
        <v>70</v>
      </c>
      <c r="J149" s="165" t="s">
        <v>1105</v>
      </c>
      <c r="K149" s="165">
        <v>3.3145508800000001</v>
      </c>
      <c r="L149" s="165">
        <v>2</v>
      </c>
      <c r="M149" s="167">
        <v>10</v>
      </c>
      <c r="N149" s="166" t="s">
        <v>817</v>
      </c>
    </row>
    <row r="150" spans="1:14" ht="15">
      <c r="A150" s="4" t="s">
        <v>54</v>
      </c>
      <c r="B150" s="6" t="s">
        <v>1757</v>
      </c>
      <c r="C150" s="330" t="s">
        <v>816</v>
      </c>
      <c r="D150" s="331">
        <v>80</v>
      </c>
      <c r="E150" s="331">
        <v>0</v>
      </c>
      <c r="F150" s="331">
        <v>30</v>
      </c>
      <c r="G150" s="331">
        <v>50</v>
      </c>
      <c r="H150" s="331">
        <v>20</v>
      </c>
      <c r="I150" s="331"/>
      <c r="J150" s="165" t="s">
        <v>1105</v>
      </c>
      <c r="K150" s="165">
        <v>4.4953596300000003</v>
      </c>
      <c r="L150" s="165">
        <v>2</v>
      </c>
      <c r="M150" s="167">
        <v>15</v>
      </c>
      <c r="N150" s="166" t="s">
        <v>817</v>
      </c>
    </row>
    <row r="151" spans="1:14" ht="15">
      <c r="A151" s="4" t="s">
        <v>393</v>
      </c>
      <c r="B151" s="4" t="s">
        <v>392</v>
      </c>
      <c r="C151" s="330" t="s">
        <v>816</v>
      </c>
      <c r="D151" s="331">
        <v>80</v>
      </c>
      <c r="E151" s="331">
        <v>0</v>
      </c>
      <c r="F151" s="331">
        <v>30</v>
      </c>
      <c r="G151" s="331">
        <v>20</v>
      </c>
      <c r="H151" s="331">
        <v>0</v>
      </c>
      <c r="I151" s="331"/>
      <c r="J151" s="165" t="s">
        <v>1105</v>
      </c>
      <c r="K151" s="165">
        <v>3.7703016200000001</v>
      </c>
      <c r="L151" s="165">
        <v>2</v>
      </c>
      <c r="M151" s="169">
        <v>15</v>
      </c>
      <c r="N151" s="169" t="s">
        <v>817</v>
      </c>
    </row>
    <row r="152" spans="1:14" ht="15">
      <c r="A152" s="4" t="s">
        <v>394</v>
      </c>
      <c r="B152" s="4" t="s">
        <v>1758</v>
      </c>
      <c r="C152" s="330" t="s">
        <v>816</v>
      </c>
      <c r="D152" s="331">
        <v>16.899999999999999</v>
      </c>
      <c r="E152" s="331">
        <v>5.9</v>
      </c>
      <c r="F152" s="331">
        <v>15.15</v>
      </c>
      <c r="G152" s="331">
        <v>17.350000000000001</v>
      </c>
      <c r="H152" s="331">
        <v>3.82</v>
      </c>
      <c r="I152" s="331">
        <v>30</v>
      </c>
      <c r="J152" s="165" t="s">
        <v>807</v>
      </c>
      <c r="K152" s="165">
        <v>10.754587600000001</v>
      </c>
      <c r="L152" s="165">
        <v>3</v>
      </c>
      <c r="M152" s="169">
        <v>25</v>
      </c>
      <c r="N152" s="169" t="s">
        <v>817</v>
      </c>
    </row>
    <row r="153" spans="1:14" ht="15">
      <c r="A153" s="4" t="s">
        <v>117</v>
      </c>
      <c r="B153" s="4" t="s">
        <v>1759</v>
      </c>
      <c r="C153" s="330" t="s">
        <v>816</v>
      </c>
      <c r="D153" s="331">
        <v>16.899999999999999</v>
      </c>
      <c r="E153" s="331">
        <v>5.9</v>
      </c>
      <c r="F153" s="331">
        <v>15.15</v>
      </c>
      <c r="G153" s="331">
        <v>17.350000000000001</v>
      </c>
      <c r="H153" s="331">
        <v>3.82</v>
      </c>
      <c r="I153" s="331">
        <v>30</v>
      </c>
      <c r="J153" s="165" t="s">
        <v>807</v>
      </c>
      <c r="K153" s="165">
        <v>10.754587600000001</v>
      </c>
      <c r="L153" s="165">
        <v>3</v>
      </c>
      <c r="M153" s="169">
        <v>25</v>
      </c>
      <c r="N153" s="169" t="s">
        <v>817</v>
      </c>
    </row>
    <row r="154" spans="1:14" ht="15">
      <c r="A154" s="4" t="s">
        <v>537</v>
      </c>
      <c r="B154" s="4" t="s">
        <v>1760</v>
      </c>
      <c r="C154" s="330" t="s">
        <v>816</v>
      </c>
      <c r="D154" s="331">
        <v>33.119999999999997</v>
      </c>
      <c r="E154" s="331">
        <v>0.94</v>
      </c>
      <c r="F154" s="331">
        <v>31.2</v>
      </c>
      <c r="G154" s="331">
        <v>19.63</v>
      </c>
      <c r="H154" s="331">
        <v>6.47</v>
      </c>
      <c r="I154" s="331">
        <v>30</v>
      </c>
      <c r="J154" s="165" t="s">
        <v>807</v>
      </c>
      <c r="K154" s="165">
        <v>6.53192094</v>
      </c>
      <c r="L154" s="165">
        <v>3</v>
      </c>
      <c r="M154" s="169">
        <v>25</v>
      </c>
      <c r="N154" s="169" t="s">
        <v>817</v>
      </c>
    </row>
    <row r="155" spans="1:14" ht="15">
      <c r="A155" s="4" t="s">
        <v>56</v>
      </c>
      <c r="B155" s="4" t="s">
        <v>1761</v>
      </c>
      <c r="C155" s="330" t="s">
        <v>816</v>
      </c>
      <c r="D155" s="331">
        <v>25.53</v>
      </c>
      <c r="E155" s="331">
        <v>2.33</v>
      </c>
      <c r="F155" s="331">
        <v>31.2</v>
      </c>
      <c r="G155" s="331">
        <v>19.63</v>
      </c>
      <c r="H155" s="331">
        <v>6.47</v>
      </c>
      <c r="I155" s="331">
        <v>30</v>
      </c>
      <c r="J155" s="165" t="s">
        <v>807</v>
      </c>
      <c r="K155" s="165">
        <v>9.1802344199999997</v>
      </c>
      <c r="L155" s="165">
        <v>3</v>
      </c>
      <c r="M155" s="169">
        <v>15</v>
      </c>
      <c r="N155" s="169" t="s">
        <v>817</v>
      </c>
    </row>
    <row r="156" spans="1:14" ht="15">
      <c r="A156" s="4" t="s">
        <v>206</v>
      </c>
      <c r="B156" s="4" t="s">
        <v>1762</v>
      </c>
      <c r="C156" s="330" t="s">
        <v>814</v>
      </c>
      <c r="D156" s="331">
        <v>45</v>
      </c>
      <c r="E156" s="331">
        <v>4.5</v>
      </c>
      <c r="F156" s="331">
        <v>2</v>
      </c>
      <c r="G156" s="331">
        <v>75</v>
      </c>
      <c r="H156" s="331">
        <v>0</v>
      </c>
      <c r="I156" s="331"/>
      <c r="J156" s="165" t="s">
        <v>1105</v>
      </c>
      <c r="K156" s="165">
        <v>7.1610667100000001</v>
      </c>
      <c r="L156" s="165">
        <v>1.5</v>
      </c>
      <c r="M156" s="169">
        <v>25</v>
      </c>
      <c r="N156" s="169" t="s">
        <v>817</v>
      </c>
    </row>
    <row r="157" spans="1:14" ht="15">
      <c r="A157" s="4" t="s">
        <v>330</v>
      </c>
      <c r="B157" s="4" t="s">
        <v>395</v>
      </c>
      <c r="C157" s="330" t="s">
        <v>816</v>
      </c>
      <c r="D157" s="331">
        <v>50</v>
      </c>
      <c r="E157" s="331">
        <v>5</v>
      </c>
      <c r="F157" s="331">
        <v>25</v>
      </c>
      <c r="G157" s="331">
        <v>50</v>
      </c>
      <c r="H157" s="331">
        <v>0</v>
      </c>
      <c r="I157" s="331"/>
      <c r="J157" s="165" t="s">
        <v>1105</v>
      </c>
      <c r="K157" s="165">
        <v>8.8940448599999993</v>
      </c>
      <c r="L157" s="165">
        <v>1.5</v>
      </c>
      <c r="M157" s="169">
        <v>25</v>
      </c>
      <c r="N157" s="169" t="s">
        <v>817</v>
      </c>
    </row>
    <row r="158" spans="1:14" ht="15">
      <c r="A158" s="4" t="s">
        <v>396</v>
      </c>
      <c r="B158" s="4" t="s">
        <v>118</v>
      </c>
      <c r="C158" s="330" t="s">
        <v>816</v>
      </c>
      <c r="D158" s="331">
        <v>57</v>
      </c>
      <c r="E158" s="331">
        <v>1.43</v>
      </c>
      <c r="F158" s="331">
        <v>27</v>
      </c>
      <c r="G158" s="331">
        <v>17</v>
      </c>
      <c r="H158" s="331">
        <v>0</v>
      </c>
      <c r="I158" s="331"/>
      <c r="J158" s="165" t="s">
        <v>1105</v>
      </c>
      <c r="K158" s="165">
        <v>8.8724031500000002</v>
      </c>
      <c r="L158" s="165">
        <v>3</v>
      </c>
      <c r="M158" s="169">
        <v>25</v>
      </c>
      <c r="N158" s="169" t="s">
        <v>817</v>
      </c>
    </row>
    <row r="159" spans="1:14" ht="15">
      <c r="A159" s="4" t="s">
        <v>398</v>
      </c>
      <c r="B159" s="4" t="s">
        <v>1763</v>
      </c>
      <c r="C159" s="330" t="s">
        <v>816</v>
      </c>
      <c r="D159" s="331">
        <v>5</v>
      </c>
      <c r="E159" s="331">
        <v>0</v>
      </c>
      <c r="F159" s="331">
        <v>3</v>
      </c>
      <c r="G159" s="331">
        <v>17</v>
      </c>
      <c r="H159" s="331">
        <v>1</v>
      </c>
      <c r="I159" s="331"/>
      <c r="J159" s="165" t="s">
        <v>1105</v>
      </c>
      <c r="K159" s="165">
        <v>80</v>
      </c>
      <c r="L159" s="165">
        <v>4.93</v>
      </c>
      <c r="M159" s="169">
        <v>200</v>
      </c>
      <c r="N159" s="169" t="s">
        <v>817</v>
      </c>
    </row>
    <row r="160" spans="1:14" ht="15">
      <c r="A160" s="4" t="s">
        <v>531</v>
      </c>
      <c r="B160" s="4" t="s">
        <v>1764</v>
      </c>
      <c r="C160" s="330" t="s">
        <v>816</v>
      </c>
      <c r="D160" s="331">
        <v>35.119999999999997</v>
      </c>
      <c r="E160" s="331">
        <v>0.32</v>
      </c>
      <c r="F160" s="331">
        <v>39.18</v>
      </c>
      <c r="G160" s="331">
        <v>54.93</v>
      </c>
      <c r="H160" s="331">
        <v>3.94</v>
      </c>
      <c r="I160" s="331"/>
      <c r="J160" s="165" t="s">
        <v>1105</v>
      </c>
      <c r="K160" s="165">
        <v>11.588427100000001</v>
      </c>
      <c r="L160" s="165">
        <v>3</v>
      </c>
      <c r="M160" s="169">
        <v>25</v>
      </c>
      <c r="N160" s="169" t="s">
        <v>817</v>
      </c>
    </row>
    <row r="161" spans="1:14" ht="15">
      <c r="A161" s="4" t="s">
        <v>208</v>
      </c>
      <c r="B161" s="4" t="s">
        <v>207</v>
      </c>
      <c r="C161" s="330" t="s">
        <v>814</v>
      </c>
      <c r="D161" s="331">
        <v>2.9</v>
      </c>
      <c r="E161" s="331">
        <v>0.03</v>
      </c>
      <c r="F161" s="331">
        <v>0.11</v>
      </c>
      <c r="G161" s="331">
        <v>0.03</v>
      </c>
      <c r="H161" s="331">
        <v>0</v>
      </c>
      <c r="I161" s="331"/>
      <c r="J161" s="165" t="s">
        <v>1105</v>
      </c>
      <c r="K161" s="165">
        <v>10.105338</v>
      </c>
      <c r="L161" s="165">
        <v>3</v>
      </c>
      <c r="M161" s="169">
        <v>25</v>
      </c>
      <c r="N161" s="169" t="s">
        <v>818</v>
      </c>
    </row>
    <row r="162" spans="1:14" ht="15">
      <c r="A162" s="4" t="s">
        <v>57</v>
      </c>
      <c r="B162" s="4" t="s">
        <v>331</v>
      </c>
      <c r="C162" s="330" t="s">
        <v>816</v>
      </c>
      <c r="D162" s="331">
        <v>120</v>
      </c>
      <c r="E162" s="331">
        <v>12</v>
      </c>
      <c r="F162" s="331">
        <v>0</v>
      </c>
      <c r="G162" s="331">
        <v>0</v>
      </c>
      <c r="H162" s="331">
        <v>0</v>
      </c>
      <c r="I162" s="331"/>
      <c r="J162" s="165" t="s">
        <v>1105</v>
      </c>
      <c r="K162" s="165">
        <v>4.6296296300000002</v>
      </c>
      <c r="L162" s="165">
        <v>1.5</v>
      </c>
      <c r="M162" s="169">
        <v>25</v>
      </c>
      <c r="N162" s="169" t="s">
        <v>817</v>
      </c>
    </row>
    <row r="163" spans="1:14" ht="15">
      <c r="A163" s="4" t="s">
        <v>332</v>
      </c>
      <c r="B163" s="4" t="s">
        <v>397</v>
      </c>
      <c r="C163" s="330" t="s">
        <v>816</v>
      </c>
      <c r="D163" s="331">
        <v>60</v>
      </c>
      <c r="E163" s="331">
        <v>0</v>
      </c>
      <c r="F163" s="331">
        <v>15</v>
      </c>
      <c r="G163" s="331">
        <v>15</v>
      </c>
      <c r="H163" s="331">
        <v>0</v>
      </c>
      <c r="I163" s="331"/>
      <c r="J163" s="165" t="s">
        <v>1105</v>
      </c>
      <c r="K163" s="165">
        <v>4.3503480300000001</v>
      </c>
      <c r="L163" s="165">
        <v>3</v>
      </c>
      <c r="M163" s="169">
        <v>20</v>
      </c>
      <c r="N163" s="169" t="s">
        <v>817</v>
      </c>
    </row>
    <row r="164" spans="1:14" ht="15">
      <c r="A164" s="4" t="s">
        <v>692</v>
      </c>
      <c r="B164" s="4" t="s">
        <v>399</v>
      </c>
      <c r="C164" s="330" t="s">
        <v>816</v>
      </c>
      <c r="D164" s="331">
        <v>50</v>
      </c>
      <c r="E164" s="331">
        <v>0</v>
      </c>
      <c r="F164" s="331">
        <v>40</v>
      </c>
      <c r="G164" s="331">
        <v>60</v>
      </c>
      <c r="H164" s="331">
        <v>16</v>
      </c>
      <c r="I164" s="331"/>
      <c r="J164" s="165" t="s">
        <v>1105</v>
      </c>
      <c r="K164" s="165">
        <v>6.9605568399999997</v>
      </c>
      <c r="L164" s="165">
        <v>2</v>
      </c>
      <c r="M164" s="169">
        <v>15</v>
      </c>
      <c r="N164" s="169" t="s">
        <v>817</v>
      </c>
    </row>
    <row r="165" spans="1:14" ht="15">
      <c r="A165" s="4" t="s">
        <v>29</v>
      </c>
      <c r="B165" s="4" t="s">
        <v>1765</v>
      </c>
      <c r="C165" s="330" t="s">
        <v>816</v>
      </c>
      <c r="D165" s="331">
        <v>5.2</v>
      </c>
      <c r="E165" s="331">
        <v>0</v>
      </c>
      <c r="F165" s="331">
        <v>2.6</v>
      </c>
      <c r="G165" s="331">
        <v>5.4</v>
      </c>
      <c r="H165" s="331">
        <v>5</v>
      </c>
      <c r="I165" s="331"/>
      <c r="J165" s="165" t="s">
        <v>1105</v>
      </c>
      <c r="K165" s="165">
        <v>29.999553800000001</v>
      </c>
      <c r="L165" s="165">
        <v>3.58</v>
      </c>
      <c r="M165" s="169">
        <v>600</v>
      </c>
      <c r="N165" s="169" t="s">
        <v>817</v>
      </c>
    </row>
    <row r="166" spans="1:14" ht="15">
      <c r="A166" s="4" t="s">
        <v>689</v>
      </c>
      <c r="B166" s="4" t="s">
        <v>209</v>
      </c>
      <c r="C166" s="330" t="s">
        <v>816</v>
      </c>
      <c r="D166" s="331">
        <v>60</v>
      </c>
      <c r="E166" s="331">
        <v>4.2</v>
      </c>
      <c r="F166" s="331">
        <v>149</v>
      </c>
      <c r="G166" s="331">
        <v>30</v>
      </c>
      <c r="H166" s="331">
        <v>14</v>
      </c>
      <c r="I166" s="331"/>
      <c r="J166" s="165" t="s">
        <v>1105</v>
      </c>
      <c r="K166" s="165">
        <v>6.2724014300000004</v>
      </c>
      <c r="L166" s="165">
        <v>2</v>
      </c>
      <c r="M166" s="169">
        <v>10</v>
      </c>
      <c r="N166" s="169" t="s">
        <v>817</v>
      </c>
    </row>
    <row r="167" spans="1:14" ht="15">
      <c r="A167" s="4" t="s">
        <v>538</v>
      </c>
      <c r="B167" s="4" t="s">
        <v>1766</v>
      </c>
      <c r="C167" s="330" t="s">
        <v>816</v>
      </c>
      <c r="D167" s="331">
        <v>113.84</v>
      </c>
      <c r="E167" s="331">
        <v>7.63</v>
      </c>
      <c r="F167" s="331">
        <v>56.6</v>
      </c>
      <c r="G167" s="331">
        <v>10.3</v>
      </c>
      <c r="H167" s="331">
        <v>0</v>
      </c>
      <c r="I167" s="331"/>
      <c r="J167" s="165" t="s">
        <v>1105</v>
      </c>
      <c r="K167" s="165">
        <v>2.8944430200000002</v>
      </c>
      <c r="L167" s="165">
        <v>2</v>
      </c>
      <c r="M167" s="169">
        <v>10</v>
      </c>
      <c r="N167" s="169" t="s">
        <v>817</v>
      </c>
    </row>
    <row r="168" spans="1:14" ht="15">
      <c r="A168" s="4" t="s">
        <v>23</v>
      </c>
      <c r="B168" s="4" t="s">
        <v>333</v>
      </c>
      <c r="C168" s="330" t="s">
        <v>816</v>
      </c>
      <c r="D168" s="331">
        <v>80</v>
      </c>
      <c r="E168" s="331">
        <v>0</v>
      </c>
      <c r="F168" s="331">
        <v>7.5</v>
      </c>
      <c r="G168" s="331">
        <v>15</v>
      </c>
      <c r="H168" s="331">
        <v>5</v>
      </c>
      <c r="I168" s="331">
        <v>30</v>
      </c>
      <c r="J168" s="165" t="s">
        <v>1105</v>
      </c>
      <c r="K168" s="165">
        <v>6.25</v>
      </c>
      <c r="L168" s="165">
        <v>3</v>
      </c>
      <c r="M168" s="167">
        <v>15</v>
      </c>
      <c r="N168" s="166" t="s">
        <v>817</v>
      </c>
    </row>
    <row r="169" spans="1:14" ht="15">
      <c r="A169" s="4" t="s">
        <v>528</v>
      </c>
      <c r="B169" s="4" t="s">
        <v>1767</v>
      </c>
      <c r="C169" s="330" t="s">
        <v>816</v>
      </c>
      <c r="D169" s="331">
        <v>135</v>
      </c>
      <c r="E169" s="331">
        <v>0</v>
      </c>
      <c r="F169" s="331">
        <v>9.17</v>
      </c>
      <c r="G169" s="331">
        <v>1.93</v>
      </c>
      <c r="H169" s="331">
        <v>1.66</v>
      </c>
      <c r="I169" s="331">
        <v>70</v>
      </c>
      <c r="J169" s="165" t="s">
        <v>1105</v>
      </c>
      <c r="K169" s="165">
        <v>3</v>
      </c>
      <c r="L169" s="165">
        <v>2</v>
      </c>
      <c r="M169" s="167">
        <v>10</v>
      </c>
      <c r="N169" s="166" t="s">
        <v>817</v>
      </c>
    </row>
    <row r="170" spans="1:14" ht="15">
      <c r="A170" s="4" t="s">
        <v>119</v>
      </c>
      <c r="B170" s="4" t="s">
        <v>1768</v>
      </c>
      <c r="C170" s="330" t="s">
        <v>816</v>
      </c>
      <c r="D170" s="331">
        <v>133.88999999999999</v>
      </c>
      <c r="E170" s="331">
        <v>0</v>
      </c>
      <c r="F170" s="331">
        <v>8.4499999999999993</v>
      </c>
      <c r="G170" s="331">
        <v>6.58</v>
      </c>
      <c r="H170" s="331">
        <v>3</v>
      </c>
      <c r="I170" s="331">
        <v>70</v>
      </c>
      <c r="J170" s="165" t="s">
        <v>1105</v>
      </c>
      <c r="K170" s="165">
        <v>3.5041058600000001</v>
      </c>
      <c r="L170" s="165">
        <v>2</v>
      </c>
      <c r="M170" s="169">
        <v>10</v>
      </c>
      <c r="N170" s="169" t="s">
        <v>817</v>
      </c>
    </row>
    <row r="171" spans="1:14" ht="15">
      <c r="A171" s="4" t="s">
        <v>30</v>
      </c>
      <c r="B171" s="4" t="s">
        <v>1769</v>
      </c>
      <c r="C171" s="330" t="s">
        <v>816</v>
      </c>
      <c r="D171" s="331">
        <v>140</v>
      </c>
      <c r="E171" s="331">
        <v>0</v>
      </c>
      <c r="F171" s="331">
        <v>10.08</v>
      </c>
      <c r="G171" s="331">
        <v>3.01</v>
      </c>
      <c r="H171" s="331">
        <v>0</v>
      </c>
      <c r="I171" s="331">
        <v>70</v>
      </c>
      <c r="J171" s="165" t="s">
        <v>1105</v>
      </c>
      <c r="K171" s="165">
        <v>3</v>
      </c>
      <c r="L171" s="165">
        <v>2</v>
      </c>
      <c r="M171" s="169">
        <v>10</v>
      </c>
      <c r="N171" s="169" t="s">
        <v>817</v>
      </c>
    </row>
    <row r="172" spans="1:14" ht="15">
      <c r="A172" s="4" t="s">
        <v>346</v>
      </c>
      <c r="B172" s="4" t="s">
        <v>1770</v>
      </c>
      <c r="C172" s="330" t="s">
        <v>816</v>
      </c>
      <c r="D172" s="331">
        <v>5</v>
      </c>
      <c r="E172" s="331">
        <v>0</v>
      </c>
      <c r="F172" s="331">
        <v>3</v>
      </c>
      <c r="G172" s="331">
        <v>17</v>
      </c>
      <c r="H172" s="331">
        <v>2</v>
      </c>
      <c r="I172" s="331"/>
      <c r="J172" s="165" t="s">
        <v>1105</v>
      </c>
      <c r="K172" s="165">
        <v>80</v>
      </c>
      <c r="L172" s="165">
        <v>4.93</v>
      </c>
      <c r="M172" s="169">
        <v>200</v>
      </c>
      <c r="N172" s="169" t="s">
        <v>817</v>
      </c>
    </row>
    <row r="173" spans="1:14" ht="15">
      <c r="A173" s="4" t="s">
        <v>31</v>
      </c>
      <c r="B173" s="4" t="s">
        <v>1771</v>
      </c>
      <c r="C173" s="330" t="s">
        <v>816</v>
      </c>
      <c r="D173" s="331">
        <v>28.26</v>
      </c>
      <c r="E173" s="331">
        <v>2.08</v>
      </c>
      <c r="F173" s="331">
        <v>31.2</v>
      </c>
      <c r="G173" s="331">
        <v>19.63</v>
      </c>
      <c r="H173" s="331">
        <v>6.47</v>
      </c>
      <c r="I173" s="331">
        <v>30</v>
      </c>
      <c r="J173" s="165" t="s">
        <v>807</v>
      </c>
      <c r="K173" s="165">
        <v>8.4323858200000004</v>
      </c>
      <c r="L173" s="165">
        <v>3</v>
      </c>
      <c r="M173" s="169">
        <v>15</v>
      </c>
      <c r="N173" s="169" t="s">
        <v>817</v>
      </c>
    </row>
    <row r="174" spans="1:14" ht="15">
      <c r="A174" s="4" t="s">
        <v>693</v>
      </c>
      <c r="B174" s="4" t="s">
        <v>1772</v>
      </c>
      <c r="C174" s="330" t="s">
        <v>816</v>
      </c>
      <c r="D174" s="331">
        <v>16.399999999999999</v>
      </c>
      <c r="E174" s="331">
        <v>3.3</v>
      </c>
      <c r="F174" s="331">
        <v>15.5</v>
      </c>
      <c r="G174" s="331">
        <v>18.100000000000001</v>
      </c>
      <c r="H174" s="331">
        <v>8.8000000000000007</v>
      </c>
      <c r="I174" s="331">
        <v>30</v>
      </c>
      <c r="J174" s="165" t="s">
        <v>807</v>
      </c>
      <c r="K174" s="165">
        <v>15.0227591</v>
      </c>
      <c r="L174" s="165">
        <v>3</v>
      </c>
      <c r="M174" s="169">
        <v>25</v>
      </c>
      <c r="N174" s="169" t="s">
        <v>817</v>
      </c>
    </row>
    <row r="175" spans="1:14" ht="15">
      <c r="A175" s="4" t="s">
        <v>33</v>
      </c>
      <c r="B175" s="4" t="s">
        <v>120</v>
      </c>
      <c r="C175" s="330" t="s">
        <v>816</v>
      </c>
      <c r="D175" s="331">
        <v>173</v>
      </c>
      <c r="E175" s="331">
        <v>8.65</v>
      </c>
      <c r="F175" s="331">
        <v>0</v>
      </c>
      <c r="G175" s="331">
        <v>0</v>
      </c>
      <c r="H175" s="331">
        <v>0</v>
      </c>
      <c r="I175" s="331"/>
      <c r="J175" s="165" t="s">
        <v>1105</v>
      </c>
      <c r="K175" s="165">
        <v>2.1052490399999999</v>
      </c>
      <c r="L175" s="165">
        <v>1.5</v>
      </c>
      <c r="M175" s="169">
        <v>25</v>
      </c>
      <c r="N175" s="169" t="s">
        <v>817</v>
      </c>
    </row>
    <row r="176" spans="1:14" ht="15">
      <c r="A176" s="4" t="s">
        <v>32</v>
      </c>
      <c r="B176" s="4" t="s">
        <v>1773</v>
      </c>
      <c r="C176" s="330" t="s">
        <v>816</v>
      </c>
      <c r="D176" s="331">
        <v>126.67</v>
      </c>
      <c r="E176" s="331">
        <v>0</v>
      </c>
      <c r="F176" s="331">
        <v>8.09</v>
      </c>
      <c r="G176" s="331">
        <v>6.3</v>
      </c>
      <c r="H176" s="331">
        <v>28.82</v>
      </c>
      <c r="I176" s="331">
        <v>70</v>
      </c>
      <c r="J176" s="165" t="s">
        <v>1105</v>
      </c>
      <c r="K176" s="165">
        <v>3.3512367599999999</v>
      </c>
      <c r="L176" s="165">
        <v>2</v>
      </c>
      <c r="M176" s="169">
        <v>10</v>
      </c>
      <c r="N176" s="169" t="s">
        <v>817</v>
      </c>
    </row>
    <row r="177" spans="1:14" ht="15">
      <c r="A177" s="4" t="s">
        <v>536</v>
      </c>
      <c r="B177" s="4" t="s">
        <v>347</v>
      </c>
      <c r="C177" s="330" t="s">
        <v>816</v>
      </c>
      <c r="D177" s="331">
        <v>140</v>
      </c>
      <c r="E177" s="331">
        <v>0</v>
      </c>
      <c r="F177" s="331">
        <v>0</v>
      </c>
      <c r="G177" s="331">
        <v>0</v>
      </c>
      <c r="H177" s="331">
        <v>0</v>
      </c>
      <c r="I177" s="331">
        <v>70</v>
      </c>
      <c r="J177" s="165" t="s">
        <v>1105</v>
      </c>
      <c r="K177" s="165">
        <v>3.52171031</v>
      </c>
      <c r="L177" s="165">
        <v>2</v>
      </c>
      <c r="M177" s="169">
        <v>10</v>
      </c>
      <c r="N177" s="169" t="s">
        <v>817</v>
      </c>
    </row>
    <row r="178" spans="1:14" ht="15">
      <c r="A178" s="4" t="s">
        <v>775</v>
      </c>
      <c r="B178" s="4" t="s">
        <v>1774</v>
      </c>
      <c r="C178" s="330" t="s">
        <v>816</v>
      </c>
      <c r="D178" s="331">
        <v>125.66</v>
      </c>
      <c r="E178" s="331">
        <v>0</v>
      </c>
      <c r="F178" s="331">
        <v>8.09</v>
      </c>
      <c r="G178" s="331">
        <v>6.3</v>
      </c>
      <c r="H178" s="331">
        <v>28.82</v>
      </c>
      <c r="I178" s="331">
        <v>70</v>
      </c>
      <c r="J178" s="165" t="s">
        <v>1105</v>
      </c>
      <c r="K178" s="165">
        <v>3.2671577599999999</v>
      </c>
      <c r="L178" s="165">
        <v>2</v>
      </c>
      <c r="M178" s="169">
        <v>10</v>
      </c>
      <c r="N178" s="169" t="s">
        <v>817</v>
      </c>
    </row>
    <row r="179" spans="1:14" ht="15">
      <c r="A179" s="4" t="s">
        <v>604</v>
      </c>
      <c r="B179" s="4" t="s">
        <v>1775</v>
      </c>
      <c r="C179" s="330" t="s">
        <v>816</v>
      </c>
      <c r="D179" s="331">
        <v>130</v>
      </c>
      <c r="E179" s="331">
        <v>0</v>
      </c>
      <c r="F179" s="331">
        <v>10.77</v>
      </c>
      <c r="G179" s="331">
        <v>5.0599999999999996</v>
      </c>
      <c r="H179" s="331">
        <v>4.3099999999999996</v>
      </c>
      <c r="I179" s="331">
        <v>70</v>
      </c>
      <c r="J179" s="165" t="s">
        <v>1105</v>
      </c>
      <c r="K179" s="165">
        <v>3</v>
      </c>
      <c r="L179" s="165">
        <v>2</v>
      </c>
      <c r="M179" s="169">
        <v>10</v>
      </c>
      <c r="N179" s="169" t="s">
        <v>817</v>
      </c>
    </row>
    <row r="180" spans="1:14" ht="15">
      <c r="A180" s="4" t="s">
        <v>702</v>
      </c>
      <c r="B180" s="4" t="s">
        <v>1776</v>
      </c>
      <c r="C180" s="330" t="s">
        <v>816</v>
      </c>
      <c r="D180" s="331">
        <v>109.83</v>
      </c>
      <c r="E180" s="331">
        <v>0</v>
      </c>
      <c r="F180" s="331">
        <v>8.09</v>
      </c>
      <c r="G180" s="331">
        <v>6.3</v>
      </c>
      <c r="H180" s="331">
        <v>28.82</v>
      </c>
      <c r="I180" s="331">
        <v>70</v>
      </c>
      <c r="J180" s="165" t="s">
        <v>1105</v>
      </c>
      <c r="K180" s="165">
        <v>3.9770385500000001</v>
      </c>
      <c r="L180" s="165">
        <v>2</v>
      </c>
      <c r="M180" s="169">
        <v>10</v>
      </c>
      <c r="N180" s="169" t="s">
        <v>817</v>
      </c>
    </row>
    <row r="181" spans="1:14" ht="15">
      <c r="A181" s="4" t="s">
        <v>524</v>
      </c>
      <c r="B181" s="4" t="s">
        <v>1777</v>
      </c>
      <c r="C181" s="330" t="s">
        <v>816</v>
      </c>
      <c r="D181" s="331">
        <v>133.46</v>
      </c>
      <c r="E181" s="331">
        <v>0</v>
      </c>
      <c r="F181" s="331">
        <v>8.09</v>
      </c>
      <c r="G181" s="331">
        <v>6.3</v>
      </c>
      <c r="H181" s="331">
        <v>28.82</v>
      </c>
      <c r="I181" s="331">
        <v>70</v>
      </c>
      <c r="J181" s="165" t="s">
        <v>1105</v>
      </c>
      <c r="K181" s="165">
        <v>3.2166802300000001</v>
      </c>
      <c r="L181" s="165">
        <v>2</v>
      </c>
      <c r="M181" s="169">
        <v>10</v>
      </c>
      <c r="N181" s="169" t="s">
        <v>817</v>
      </c>
    </row>
    <row r="182" spans="1:14" ht="15">
      <c r="A182" s="4" t="s">
        <v>650</v>
      </c>
      <c r="B182" s="4" t="s">
        <v>1778</v>
      </c>
      <c r="C182" s="330" t="s">
        <v>816</v>
      </c>
      <c r="D182" s="331">
        <v>140</v>
      </c>
      <c r="E182" s="331">
        <v>0</v>
      </c>
      <c r="F182" s="331">
        <v>0</v>
      </c>
      <c r="G182" s="331">
        <v>0</v>
      </c>
      <c r="H182" s="331">
        <v>0</v>
      </c>
      <c r="I182" s="331">
        <v>70</v>
      </c>
      <c r="J182" s="165" t="s">
        <v>1105</v>
      </c>
      <c r="K182" s="165">
        <v>3</v>
      </c>
      <c r="L182" s="165">
        <v>2</v>
      </c>
      <c r="M182" s="169">
        <v>10</v>
      </c>
      <c r="N182" s="169" t="s">
        <v>817</v>
      </c>
    </row>
    <row r="183" spans="1:14" ht="15">
      <c r="A183" s="4" t="s">
        <v>651</v>
      </c>
      <c r="B183" s="4" t="s">
        <v>1779</v>
      </c>
      <c r="C183" s="330" t="s">
        <v>816</v>
      </c>
      <c r="D183" s="331">
        <v>9.42</v>
      </c>
      <c r="E183" s="331">
        <v>2.08</v>
      </c>
      <c r="F183" s="331">
        <v>11.74</v>
      </c>
      <c r="G183" s="331">
        <v>9.86</v>
      </c>
      <c r="H183" s="331">
        <v>3.02</v>
      </c>
      <c r="I183" s="331"/>
      <c r="J183" s="165" t="s">
        <v>1105</v>
      </c>
      <c r="K183" s="165">
        <v>12.232341</v>
      </c>
      <c r="L183" s="165">
        <v>3</v>
      </c>
      <c r="M183" s="169">
        <v>25</v>
      </c>
      <c r="N183" s="169" t="s">
        <v>817</v>
      </c>
    </row>
    <row r="184" spans="1:14" ht="15">
      <c r="A184" s="4" t="s">
        <v>705</v>
      </c>
      <c r="B184" s="4" t="s">
        <v>1780</v>
      </c>
      <c r="C184" s="330" t="s">
        <v>814</v>
      </c>
      <c r="D184" s="331">
        <v>8.4</v>
      </c>
      <c r="E184" s="331">
        <v>5.3</v>
      </c>
      <c r="F184" s="331">
        <v>6</v>
      </c>
      <c r="G184" s="331">
        <v>4.5999999999999996</v>
      </c>
      <c r="H184" s="331">
        <v>2.2999999999999998</v>
      </c>
      <c r="I184" s="331"/>
      <c r="J184" s="165" t="s">
        <v>1105</v>
      </c>
      <c r="K184" s="165">
        <v>16.258139400000001</v>
      </c>
      <c r="L184" s="165">
        <v>3</v>
      </c>
      <c r="M184" s="169">
        <v>200</v>
      </c>
      <c r="N184" s="169" t="s">
        <v>818</v>
      </c>
    </row>
    <row r="185" spans="1:14" ht="15">
      <c r="A185" s="4" t="s">
        <v>612</v>
      </c>
      <c r="B185" s="4" t="s">
        <v>1781</v>
      </c>
      <c r="C185" s="330" t="s">
        <v>814</v>
      </c>
      <c r="D185" s="331">
        <v>9.1999999999999993</v>
      </c>
      <c r="E185" s="331">
        <v>6.5</v>
      </c>
      <c r="F185" s="331">
        <v>7</v>
      </c>
      <c r="G185" s="331">
        <v>5</v>
      </c>
      <c r="H185" s="331">
        <v>1.8</v>
      </c>
      <c r="I185" s="331"/>
      <c r="J185" s="165" t="s">
        <v>1105</v>
      </c>
      <c r="K185" s="165">
        <v>20.4434133</v>
      </c>
      <c r="L185" s="165">
        <v>3</v>
      </c>
      <c r="M185" s="169">
        <v>200</v>
      </c>
      <c r="N185" s="169" t="s">
        <v>818</v>
      </c>
    </row>
    <row r="186" spans="1:14" ht="15">
      <c r="A186" s="4" t="s">
        <v>660</v>
      </c>
      <c r="B186" s="4" t="s">
        <v>1782</v>
      </c>
      <c r="C186" s="330" t="s">
        <v>816</v>
      </c>
      <c r="D186" s="331">
        <v>17.5</v>
      </c>
      <c r="E186" s="331">
        <v>8.8000000000000007</v>
      </c>
      <c r="F186" s="331">
        <v>15</v>
      </c>
      <c r="G186" s="331">
        <v>13.5</v>
      </c>
      <c r="H186" s="331">
        <v>5</v>
      </c>
      <c r="I186" s="331"/>
      <c r="J186" s="165" t="s">
        <v>1105</v>
      </c>
      <c r="K186" s="165">
        <v>24.137930999999998</v>
      </c>
      <c r="L186" s="165">
        <v>3</v>
      </c>
      <c r="M186" s="169">
        <v>25</v>
      </c>
      <c r="N186" s="169" t="s">
        <v>817</v>
      </c>
    </row>
    <row r="187" spans="1:14" ht="15">
      <c r="A187" s="4" t="s">
        <v>794</v>
      </c>
      <c r="B187" s="4" t="s">
        <v>1783</v>
      </c>
      <c r="C187" s="330" t="s">
        <v>816</v>
      </c>
      <c r="D187" s="331">
        <v>9.1</v>
      </c>
      <c r="E187" s="331">
        <v>5</v>
      </c>
      <c r="F187" s="331">
        <v>10.77</v>
      </c>
      <c r="G187" s="331">
        <v>6.87</v>
      </c>
      <c r="H187" s="331">
        <v>1.49</v>
      </c>
      <c r="I187" s="331"/>
      <c r="J187" s="165" t="s">
        <v>1105</v>
      </c>
      <c r="K187" s="165">
        <v>8.8775394700000003</v>
      </c>
      <c r="L187" s="165">
        <v>3</v>
      </c>
      <c r="M187" s="167">
        <v>25</v>
      </c>
      <c r="N187" s="166" t="s">
        <v>817</v>
      </c>
    </row>
    <row r="188" spans="1:14" ht="15">
      <c r="A188" s="4" t="s">
        <v>778</v>
      </c>
      <c r="B188" s="4" t="s">
        <v>1784</v>
      </c>
      <c r="C188" s="330" t="s">
        <v>816</v>
      </c>
      <c r="D188" s="331">
        <v>7.4</v>
      </c>
      <c r="E188" s="331">
        <v>4.0999999999999996</v>
      </c>
      <c r="F188" s="331">
        <v>9.85</v>
      </c>
      <c r="G188" s="331">
        <v>4.0999999999999996</v>
      </c>
      <c r="H188" s="331">
        <v>1.1599999999999999</v>
      </c>
      <c r="I188" s="331"/>
      <c r="J188" s="165" t="s">
        <v>1105</v>
      </c>
      <c r="K188" s="165">
        <v>10.091049699999999</v>
      </c>
      <c r="L188" s="165">
        <v>3</v>
      </c>
      <c r="M188" s="167">
        <v>25</v>
      </c>
      <c r="N188" s="166" t="s">
        <v>817</v>
      </c>
    </row>
    <row r="189" spans="1:14" ht="15">
      <c r="A189" s="4" t="s">
        <v>711</v>
      </c>
      <c r="B189" s="4" t="s">
        <v>1785</v>
      </c>
      <c r="C189" s="330" t="s">
        <v>816</v>
      </c>
      <c r="D189" s="331">
        <v>13</v>
      </c>
      <c r="E189" s="331">
        <v>6</v>
      </c>
      <c r="F189" s="331">
        <v>8</v>
      </c>
      <c r="G189" s="331">
        <v>7</v>
      </c>
      <c r="H189" s="331">
        <v>2</v>
      </c>
      <c r="I189" s="331"/>
      <c r="J189" s="165" t="s">
        <v>1105</v>
      </c>
      <c r="K189" s="165">
        <v>11.1426914</v>
      </c>
      <c r="L189" s="165">
        <v>3</v>
      </c>
      <c r="M189" s="167">
        <v>25</v>
      </c>
      <c r="N189" s="166" t="s">
        <v>817</v>
      </c>
    </row>
    <row r="190" spans="1:14" ht="15">
      <c r="A190" s="4" t="s">
        <v>525</v>
      </c>
      <c r="B190" s="4" t="s">
        <v>1786</v>
      </c>
      <c r="C190" s="330" t="s">
        <v>816</v>
      </c>
      <c r="D190" s="331">
        <v>17</v>
      </c>
      <c r="E190" s="331">
        <v>6.3</v>
      </c>
      <c r="F190" s="331">
        <v>11.4</v>
      </c>
      <c r="G190" s="331">
        <v>10</v>
      </c>
      <c r="H190" s="331">
        <v>5.7</v>
      </c>
      <c r="I190" s="331"/>
      <c r="J190" s="165" t="s">
        <v>1105</v>
      </c>
      <c r="K190" s="165">
        <v>7.9439252299999996</v>
      </c>
      <c r="L190" s="165">
        <v>3</v>
      </c>
      <c r="M190" s="167">
        <v>25</v>
      </c>
      <c r="N190" s="166" t="s">
        <v>817</v>
      </c>
    </row>
    <row r="191" spans="1:14" ht="15">
      <c r="A191" s="4" t="s">
        <v>577</v>
      </c>
      <c r="B191" s="4" t="s">
        <v>1787</v>
      </c>
      <c r="C191" s="330" t="s">
        <v>816</v>
      </c>
      <c r="D191" s="331">
        <v>17.100000000000001</v>
      </c>
      <c r="E191" s="331">
        <v>3</v>
      </c>
      <c r="F191" s="331">
        <v>10.9</v>
      </c>
      <c r="G191" s="331">
        <v>8.3000000000000007</v>
      </c>
      <c r="H191" s="331">
        <v>4</v>
      </c>
      <c r="I191" s="331"/>
      <c r="J191" s="165" t="s">
        <v>1105</v>
      </c>
      <c r="K191" s="165">
        <v>4.8509980099999996</v>
      </c>
      <c r="L191" s="165">
        <v>3</v>
      </c>
      <c r="M191" s="167">
        <v>25</v>
      </c>
      <c r="N191" s="166" t="s">
        <v>817</v>
      </c>
    </row>
    <row r="192" spans="1:14" ht="15">
      <c r="A192" s="4" t="s">
        <v>712</v>
      </c>
      <c r="B192" s="4" t="s">
        <v>1788</v>
      </c>
      <c r="C192" s="330" t="s">
        <v>816</v>
      </c>
      <c r="D192" s="331">
        <v>20.23</v>
      </c>
      <c r="E192" s="331">
        <v>4.72</v>
      </c>
      <c r="F192" s="331">
        <v>19.29</v>
      </c>
      <c r="G192" s="331">
        <v>16.5</v>
      </c>
      <c r="H192" s="331">
        <v>5.39</v>
      </c>
      <c r="I192" s="331">
        <v>60</v>
      </c>
      <c r="J192" s="165" t="s">
        <v>806</v>
      </c>
      <c r="K192" s="165">
        <v>12.440144099999999</v>
      </c>
      <c r="L192" s="165">
        <v>3</v>
      </c>
      <c r="M192" s="167">
        <v>25</v>
      </c>
      <c r="N192" s="166" t="s">
        <v>817</v>
      </c>
    </row>
    <row r="193" spans="1:14" ht="15">
      <c r="A193" s="4" t="s">
        <v>667</v>
      </c>
      <c r="B193" s="4" t="s">
        <v>1789</v>
      </c>
      <c r="C193" s="330" t="s">
        <v>816</v>
      </c>
      <c r="D193" s="331">
        <v>28.32</v>
      </c>
      <c r="E193" s="331">
        <v>6.61</v>
      </c>
      <c r="F193" s="331">
        <v>27</v>
      </c>
      <c r="G193" s="331">
        <v>23.1</v>
      </c>
      <c r="H193" s="331">
        <v>7.55</v>
      </c>
      <c r="I193" s="331">
        <v>60</v>
      </c>
      <c r="J193" s="165" t="s">
        <v>806</v>
      </c>
      <c r="K193" s="165">
        <v>12.4425431</v>
      </c>
      <c r="L193" s="165">
        <v>3</v>
      </c>
      <c r="M193" s="167">
        <v>25</v>
      </c>
      <c r="N193" s="166" t="s">
        <v>817</v>
      </c>
    </row>
    <row r="194" spans="1:14" ht="15">
      <c r="A194" s="4" t="s">
        <v>668</v>
      </c>
      <c r="B194" s="4" t="s">
        <v>1790</v>
      </c>
      <c r="C194" s="330" t="s">
        <v>816</v>
      </c>
      <c r="D194" s="331">
        <v>28</v>
      </c>
      <c r="E194" s="331">
        <v>7.8</v>
      </c>
      <c r="F194" s="331">
        <v>24</v>
      </c>
      <c r="G194" s="331">
        <v>23</v>
      </c>
      <c r="H194" s="331">
        <v>6</v>
      </c>
      <c r="I194" s="331">
        <v>30</v>
      </c>
      <c r="J194" s="165" t="s">
        <v>807</v>
      </c>
      <c r="K194" s="165">
        <v>10.3960396</v>
      </c>
      <c r="L194" s="165">
        <v>3</v>
      </c>
      <c r="M194" s="167">
        <v>25</v>
      </c>
      <c r="N194" s="166" t="s">
        <v>817</v>
      </c>
    </row>
    <row r="195" spans="1:14" ht="15">
      <c r="A195" s="4" t="s">
        <v>578</v>
      </c>
      <c r="B195" s="4" t="s">
        <v>1791</v>
      </c>
      <c r="C195" s="330" t="s">
        <v>816</v>
      </c>
      <c r="D195" s="331">
        <v>17.5</v>
      </c>
      <c r="E195" s="331">
        <v>8.8000000000000007</v>
      </c>
      <c r="F195" s="331">
        <v>15</v>
      </c>
      <c r="G195" s="331">
        <v>15.5</v>
      </c>
      <c r="H195" s="331">
        <v>5.5</v>
      </c>
      <c r="I195" s="331">
        <v>30</v>
      </c>
      <c r="J195" s="165" t="s">
        <v>807</v>
      </c>
      <c r="K195" s="165">
        <v>24.137930999999998</v>
      </c>
      <c r="L195" s="165">
        <v>3</v>
      </c>
      <c r="M195" s="167">
        <v>25</v>
      </c>
      <c r="N195" s="166" t="s">
        <v>817</v>
      </c>
    </row>
    <row r="196" spans="1:14" ht="15">
      <c r="A196" s="4" t="s">
        <v>620</v>
      </c>
      <c r="B196" s="4" t="s">
        <v>1792</v>
      </c>
      <c r="C196" s="330" t="s">
        <v>816</v>
      </c>
      <c r="D196" s="331">
        <v>17.5</v>
      </c>
      <c r="E196" s="331">
        <v>8.8000000000000007</v>
      </c>
      <c r="F196" s="331">
        <v>15</v>
      </c>
      <c r="G196" s="331">
        <v>15.5</v>
      </c>
      <c r="H196" s="331">
        <v>5.5</v>
      </c>
      <c r="I196" s="331">
        <v>30</v>
      </c>
      <c r="J196" s="165" t="s">
        <v>807</v>
      </c>
      <c r="K196" s="165">
        <v>24.137930999999998</v>
      </c>
      <c r="L196" s="165">
        <v>3</v>
      </c>
      <c r="M196" s="167">
        <v>25</v>
      </c>
      <c r="N196" s="166" t="s">
        <v>817</v>
      </c>
    </row>
    <row r="197" spans="1:14" ht="15">
      <c r="A197" s="4" t="s">
        <v>621</v>
      </c>
      <c r="B197" s="4" t="s">
        <v>1793</v>
      </c>
      <c r="C197" s="330" t="s">
        <v>816</v>
      </c>
      <c r="D197" s="331">
        <v>24</v>
      </c>
      <c r="E197" s="331">
        <v>10</v>
      </c>
      <c r="F197" s="331">
        <v>17</v>
      </c>
      <c r="G197" s="331">
        <v>14</v>
      </c>
      <c r="H197" s="331">
        <v>5</v>
      </c>
      <c r="I197" s="331">
        <v>60</v>
      </c>
      <c r="J197" s="165" t="s">
        <v>806</v>
      </c>
      <c r="K197" s="165">
        <v>12.857142899999999</v>
      </c>
      <c r="L197" s="165">
        <v>3</v>
      </c>
      <c r="M197" s="167">
        <v>25</v>
      </c>
      <c r="N197" s="166" t="s">
        <v>817</v>
      </c>
    </row>
    <row r="198" spans="1:14" ht="15">
      <c r="A198" s="4" t="s">
        <v>669</v>
      </c>
      <c r="B198" s="4" t="s">
        <v>1794</v>
      </c>
      <c r="C198" s="330" t="s">
        <v>816</v>
      </c>
      <c r="D198" s="331">
        <v>25.7</v>
      </c>
      <c r="E198" s="331">
        <v>9.8000000000000007</v>
      </c>
      <c r="F198" s="331">
        <v>20.7</v>
      </c>
      <c r="G198" s="331">
        <v>18</v>
      </c>
      <c r="H198" s="331">
        <v>6.93</v>
      </c>
      <c r="I198" s="331">
        <v>60</v>
      </c>
      <c r="J198" s="165" t="s">
        <v>806</v>
      </c>
      <c r="K198" s="165">
        <v>9.6980840199999996</v>
      </c>
      <c r="L198" s="165">
        <v>3</v>
      </c>
      <c r="M198" s="167">
        <v>25</v>
      </c>
      <c r="N198" s="166" t="s">
        <v>817</v>
      </c>
    </row>
    <row r="199" spans="1:14" ht="15">
      <c r="A199" s="4" t="s">
        <v>790</v>
      </c>
      <c r="B199" s="4" t="s">
        <v>1795</v>
      </c>
      <c r="C199" s="330" t="s">
        <v>816</v>
      </c>
      <c r="D199" s="331">
        <v>20.9</v>
      </c>
      <c r="E199" s="331">
        <v>7.9</v>
      </c>
      <c r="F199" s="331">
        <v>19.8</v>
      </c>
      <c r="G199" s="331">
        <v>15.94</v>
      </c>
      <c r="H199" s="331">
        <v>5.68</v>
      </c>
      <c r="I199" s="331">
        <v>60</v>
      </c>
      <c r="J199" s="165" t="s">
        <v>806</v>
      </c>
      <c r="K199" s="165">
        <v>9.6461716899999992</v>
      </c>
      <c r="L199" s="165">
        <v>3</v>
      </c>
      <c r="M199" s="167">
        <v>25</v>
      </c>
      <c r="N199" s="166" t="s">
        <v>817</v>
      </c>
    </row>
    <row r="200" spans="1:14" ht="15">
      <c r="A200" s="4" t="s">
        <v>781</v>
      </c>
      <c r="B200" s="4" t="s">
        <v>1796</v>
      </c>
      <c r="C200" s="330" t="s">
        <v>816</v>
      </c>
      <c r="D200" s="331">
        <v>17.2</v>
      </c>
      <c r="E200" s="331">
        <v>0</v>
      </c>
      <c r="F200" s="331">
        <v>17.399999999999999</v>
      </c>
      <c r="G200" s="331">
        <v>13.2</v>
      </c>
      <c r="H200" s="331">
        <v>0</v>
      </c>
      <c r="I200" s="331">
        <v>60</v>
      </c>
      <c r="J200" s="165" t="s">
        <v>806</v>
      </c>
      <c r="K200" s="165">
        <v>11.999878600000001</v>
      </c>
      <c r="L200" s="165">
        <v>3</v>
      </c>
      <c r="M200" s="167">
        <v>25</v>
      </c>
      <c r="N200" s="166" t="s">
        <v>817</v>
      </c>
    </row>
    <row r="201" spans="1:14" ht="15">
      <c r="A201" s="4" t="s">
        <v>293</v>
      </c>
      <c r="B201" s="4" t="s">
        <v>1797</v>
      </c>
      <c r="C201" s="330" t="s">
        <v>816</v>
      </c>
      <c r="D201" s="331">
        <v>25.5</v>
      </c>
      <c r="E201" s="331">
        <v>9.9</v>
      </c>
      <c r="F201" s="331">
        <v>20.100000000000001</v>
      </c>
      <c r="G201" s="331">
        <v>17.5</v>
      </c>
      <c r="H201" s="331">
        <v>7.9</v>
      </c>
      <c r="I201" s="331">
        <v>60</v>
      </c>
      <c r="J201" s="165" t="s">
        <v>806</v>
      </c>
      <c r="K201" s="165">
        <v>8.1730769199999997</v>
      </c>
      <c r="L201" s="165">
        <v>3</v>
      </c>
      <c r="M201" s="169">
        <v>25</v>
      </c>
      <c r="N201" s="169" t="s">
        <v>817</v>
      </c>
    </row>
    <row r="202" spans="1:14" ht="15">
      <c r="A202" s="4" t="s">
        <v>400</v>
      </c>
      <c r="B202" s="4" t="s">
        <v>1798</v>
      </c>
      <c r="C202" s="330" t="s">
        <v>816</v>
      </c>
      <c r="D202" s="331">
        <v>32</v>
      </c>
      <c r="E202" s="331">
        <v>10.7</v>
      </c>
      <c r="F202" s="331">
        <v>27.7</v>
      </c>
      <c r="G202" s="331">
        <v>22.8</v>
      </c>
      <c r="H202" s="331">
        <v>20.6</v>
      </c>
      <c r="I202" s="331">
        <v>60</v>
      </c>
      <c r="J202" s="165" t="s">
        <v>806</v>
      </c>
      <c r="K202" s="165">
        <v>9.0141389699999994</v>
      </c>
      <c r="L202" s="165">
        <v>3</v>
      </c>
      <c r="M202" s="169">
        <v>25</v>
      </c>
      <c r="N202" s="169" t="s">
        <v>817</v>
      </c>
    </row>
    <row r="203" spans="1:14" ht="15">
      <c r="A203" s="4" t="s">
        <v>725</v>
      </c>
      <c r="B203" s="4" t="s">
        <v>1799</v>
      </c>
      <c r="C203" s="330" t="s">
        <v>816</v>
      </c>
      <c r="D203" s="331">
        <v>32.1</v>
      </c>
      <c r="E203" s="331">
        <v>11</v>
      </c>
      <c r="F203" s="331">
        <v>30.9</v>
      </c>
      <c r="G203" s="331">
        <v>21.8</v>
      </c>
      <c r="H203" s="331">
        <v>7.9</v>
      </c>
      <c r="I203" s="331">
        <v>60</v>
      </c>
      <c r="J203" s="165" t="s">
        <v>806</v>
      </c>
      <c r="K203" s="165">
        <v>9.12789611</v>
      </c>
      <c r="L203" s="165">
        <v>3</v>
      </c>
      <c r="M203" s="169">
        <v>25</v>
      </c>
      <c r="N203" s="169" t="s">
        <v>817</v>
      </c>
    </row>
    <row r="204" spans="1:14" ht="15">
      <c r="A204" s="4" t="s">
        <v>210</v>
      </c>
      <c r="B204" s="4" t="s">
        <v>1800</v>
      </c>
      <c r="C204" s="330" t="s">
        <v>816</v>
      </c>
      <c r="D204" s="331">
        <v>18.100000000000001</v>
      </c>
      <c r="E204" s="331">
        <v>7.6</v>
      </c>
      <c r="F204" s="331">
        <v>12.5</v>
      </c>
      <c r="G204" s="331">
        <v>10.4</v>
      </c>
      <c r="H204" s="331">
        <v>4</v>
      </c>
      <c r="I204" s="331">
        <v>30</v>
      </c>
      <c r="J204" s="165" t="s">
        <v>807</v>
      </c>
      <c r="K204" s="165">
        <v>8.6189371300000008</v>
      </c>
      <c r="L204" s="165">
        <v>3</v>
      </c>
      <c r="M204" s="169">
        <v>25</v>
      </c>
      <c r="N204" s="169" t="s">
        <v>817</v>
      </c>
    </row>
    <row r="205" spans="1:14" ht="15">
      <c r="A205" s="4" t="s">
        <v>745</v>
      </c>
      <c r="B205" s="4" t="s">
        <v>1801</v>
      </c>
      <c r="C205" s="330" t="s">
        <v>816</v>
      </c>
      <c r="D205" s="331">
        <v>29.9</v>
      </c>
      <c r="E205" s="331">
        <v>10</v>
      </c>
      <c r="F205" s="331">
        <v>22</v>
      </c>
      <c r="G205" s="331">
        <v>20.2</v>
      </c>
      <c r="H205" s="331">
        <v>8.1999999999999993</v>
      </c>
      <c r="I205" s="331">
        <v>30</v>
      </c>
      <c r="J205" s="165" t="s">
        <v>807</v>
      </c>
      <c r="K205" s="165">
        <v>7.5126211100000004</v>
      </c>
      <c r="L205" s="165">
        <v>3</v>
      </c>
      <c r="M205" s="169">
        <v>25</v>
      </c>
      <c r="N205" s="169" t="s">
        <v>817</v>
      </c>
    </row>
    <row r="206" spans="1:14" ht="15">
      <c r="A206" s="4" t="s">
        <v>334</v>
      </c>
      <c r="B206" s="4" t="s">
        <v>294</v>
      </c>
      <c r="C206" s="330" t="s">
        <v>814</v>
      </c>
      <c r="D206" s="331">
        <v>40</v>
      </c>
      <c r="E206" s="331">
        <v>4</v>
      </c>
      <c r="F206" s="331">
        <v>10</v>
      </c>
      <c r="G206" s="331">
        <v>50</v>
      </c>
      <c r="H206" s="331">
        <v>0</v>
      </c>
      <c r="I206" s="331"/>
      <c r="J206" s="165" t="s">
        <v>1105</v>
      </c>
      <c r="K206" s="165">
        <v>3.1902552200000001</v>
      </c>
      <c r="L206" s="165">
        <v>1.5</v>
      </c>
      <c r="M206" s="169">
        <v>25</v>
      </c>
      <c r="N206" s="169" t="s">
        <v>817</v>
      </c>
    </row>
    <row r="207" spans="1:14" ht="15">
      <c r="A207" s="4" t="s">
        <v>295</v>
      </c>
      <c r="B207" s="4" t="s">
        <v>401</v>
      </c>
      <c r="C207" s="330" t="s">
        <v>814</v>
      </c>
      <c r="D207" s="331">
        <v>0.15</v>
      </c>
      <c r="E207" s="331">
        <v>0</v>
      </c>
      <c r="F207" s="331">
        <v>30</v>
      </c>
      <c r="G207" s="331">
        <v>250</v>
      </c>
      <c r="H207" s="331">
        <v>0</v>
      </c>
      <c r="I207" s="331"/>
      <c r="J207" s="165" t="s">
        <v>1105</v>
      </c>
      <c r="K207" s="165">
        <v>6.6666666699999997</v>
      </c>
      <c r="L207" s="165">
        <v>3.0285524800000001</v>
      </c>
      <c r="M207" s="169">
        <v>250</v>
      </c>
      <c r="N207" s="169" t="s">
        <v>818</v>
      </c>
    </row>
    <row r="208" spans="1:14" ht="15">
      <c r="A208" s="4" t="s">
        <v>61</v>
      </c>
      <c r="B208" s="4" t="s">
        <v>726</v>
      </c>
      <c r="C208" s="330" t="s">
        <v>816</v>
      </c>
      <c r="D208" s="331">
        <v>15.24</v>
      </c>
      <c r="E208" s="331">
        <v>1.07</v>
      </c>
      <c r="F208" s="331">
        <v>3.52</v>
      </c>
      <c r="G208" s="331">
        <v>2.79</v>
      </c>
      <c r="H208" s="331">
        <v>1.53</v>
      </c>
      <c r="I208" s="331"/>
      <c r="J208" s="165" t="s">
        <v>1105</v>
      </c>
      <c r="K208" s="165">
        <v>19.362169999999999</v>
      </c>
      <c r="L208" s="165">
        <v>6</v>
      </c>
      <c r="M208" s="169">
        <v>200</v>
      </c>
      <c r="N208" s="169" t="s">
        <v>817</v>
      </c>
    </row>
    <row r="209" spans="1:14" ht="15">
      <c r="A209" s="4" t="s">
        <v>62</v>
      </c>
      <c r="B209" s="4" t="s">
        <v>211</v>
      </c>
      <c r="C209" s="330" t="s">
        <v>816</v>
      </c>
      <c r="D209" s="331">
        <v>40</v>
      </c>
      <c r="E209" s="331">
        <v>0</v>
      </c>
      <c r="F209" s="331">
        <v>10</v>
      </c>
      <c r="G209" s="331">
        <v>50</v>
      </c>
      <c r="H209" s="331">
        <v>3.9</v>
      </c>
      <c r="I209" s="331"/>
      <c r="J209" s="165" t="s">
        <v>1105</v>
      </c>
      <c r="K209" s="165">
        <v>10.890371200000001</v>
      </c>
      <c r="L209" s="165">
        <v>3</v>
      </c>
      <c r="M209" s="169">
        <v>25</v>
      </c>
      <c r="N209" s="169" t="s">
        <v>817</v>
      </c>
    </row>
    <row r="210" spans="1:14" ht="15">
      <c r="A210" s="4" t="s">
        <v>58</v>
      </c>
      <c r="B210" s="4" t="s">
        <v>746</v>
      </c>
      <c r="C210" s="330" t="s">
        <v>816</v>
      </c>
      <c r="D210" s="331">
        <v>0.5</v>
      </c>
      <c r="E210" s="331">
        <v>0.03</v>
      </c>
      <c r="F210" s="331">
        <v>2</v>
      </c>
      <c r="G210" s="331">
        <v>3</v>
      </c>
      <c r="H210" s="331">
        <v>0</v>
      </c>
      <c r="I210" s="331"/>
      <c r="J210" s="165" t="s">
        <v>1105</v>
      </c>
      <c r="K210" s="165">
        <v>765.167596</v>
      </c>
      <c r="L210" s="165">
        <v>6</v>
      </c>
      <c r="M210" s="169">
        <v>800</v>
      </c>
      <c r="N210" s="169" t="s">
        <v>817</v>
      </c>
    </row>
    <row r="211" spans="1:14" ht="15">
      <c r="A211" s="4" t="s">
        <v>59</v>
      </c>
      <c r="B211" s="4" t="s">
        <v>335</v>
      </c>
      <c r="C211" s="330" t="s">
        <v>816</v>
      </c>
      <c r="D211" s="331">
        <v>11</v>
      </c>
      <c r="E211" s="331">
        <v>0</v>
      </c>
      <c r="F211" s="331">
        <v>0</v>
      </c>
      <c r="G211" s="331">
        <v>0</v>
      </c>
      <c r="H211" s="331">
        <v>0</v>
      </c>
      <c r="I211" s="331"/>
      <c r="J211" s="165" t="s">
        <v>1105</v>
      </c>
      <c r="K211" s="165">
        <v>10</v>
      </c>
      <c r="L211" s="165">
        <v>3</v>
      </c>
      <c r="M211" s="169">
        <v>15</v>
      </c>
      <c r="N211" s="169" t="s">
        <v>817</v>
      </c>
    </row>
    <row r="212" spans="1:14" ht="15">
      <c r="A212" s="4" t="s">
        <v>60</v>
      </c>
      <c r="B212" s="4" t="s">
        <v>296</v>
      </c>
      <c r="C212" s="330" t="s">
        <v>814</v>
      </c>
      <c r="D212" s="331">
        <v>70</v>
      </c>
      <c r="E212" s="331">
        <v>0.35</v>
      </c>
      <c r="F212" s="331">
        <v>10</v>
      </c>
      <c r="G212" s="331">
        <v>20</v>
      </c>
      <c r="H212" s="331">
        <v>1.5</v>
      </c>
      <c r="I212" s="331"/>
      <c r="J212" s="165" t="s">
        <v>1105</v>
      </c>
      <c r="K212" s="165">
        <v>5.7430007200000004</v>
      </c>
      <c r="L212" s="165">
        <v>3</v>
      </c>
      <c r="M212" s="169">
        <v>15</v>
      </c>
      <c r="N212" s="169" t="s">
        <v>817</v>
      </c>
    </row>
    <row r="213" spans="1:14" ht="15">
      <c r="A213" s="4" t="s">
        <v>212</v>
      </c>
      <c r="B213" s="4" t="s">
        <v>1802</v>
      </c>
      <c r="C213" s="330" t="s">
        <v>816</v>
      </c>
      <c r="D213" s="331">
        <v>34.69</v>
      </c>
      <c r="E213" s="331">
        <v>0.36</v>
      </c>
      <c r="F213" s="331">
        <v>3.08</v>
      </c>
      <c r="G213" s="331">
        <v>2.88</v>
      </c>
      <c r="H213" s="331">
        <v>2.48</v>
      </c>
      <c r="I213" s="331"/>
      <c r="J213" s="165" t="s">
        <v>1105</v>
      </c>
      <c r="K213" s="165">
        <v>3.99645721</v>
      </c>
      <c r="L213" s="165">
        <v>1.5</v>
      </c>
      <c r="M213" s="169">
        <v>25</v>
      </c>
      <c r="N213" s="169" t="s">
        <v>817</v>
      </c>
    </row>
    <row r="214" spans="1:14" ht="15">
      <c r="A214" s="4" t="s">
        <v>63</v>
      </c>
      <c r="B214" s="4" t="s">
        <v>1803</v>
      </c>
      <c r="C214" s="330" t="s">
        <v>816</v>
      </c>
      <c r="D214" s="331">
        <v>34.69</v>
      </c>
      <c r="E214" s="331">
        <v>0.36</v>
      </c>
      <c r="F214" s="331">
        <v>3.08</v>
      </c>
      <c r="G214" s="331">
        <v>2.88</v>
      </c>
      <c r="H214" s="331">
        <v>2.48</v>
      </c>
      <c r="I214" s="331"/>
      <c r="J214" s="165" t="s">
        <v>1105</v>
      </c>
      <c r="K214" s="165">
        <v>3.99645721</v>
      </c>
      <c r="L214" s="165">
        <v>1.5</v>
      </c>
      <c r="M214" s="169">
        <v>25</v>
      </c>
      <c r="N214" s="169" t="s">
        <v>817</v>
      </c>
    </row>
    <row r="215" spans="1:14" ht="15">
      <c r="A215" s="4" t="s">
        <v>358</v>
      </c>
      <c r="B215" s="4" t="s">
        <v>1804</v>
      </c>
      <c r="C215" s="330" t="s">
        <v>816</v>
      </c>
      <c r="D215" s="331">
        <v>57.15</v>
      </c>
      <c r="E215" s="331">
        <v>6.75</v>
      </c>
      <c r="F215" s="331">
        <v>1.1299999999999999</v>
      </c>
      <c r="G215" s="331">
        <v>4.82</v>
      </c>
      <c r="H215" s="331">
        <v>1.87</v>
      </c>
      <c r="I215" s="331">
        <v>70</v>
      </c>
      <c r="J215" s="165" t="s">
        <v>1105</v>
      </c>
      <c r="K215" s="165">
        <v>2.6630344699999999</v>
      </c>
      <c r="L215" s="165">
        <v>2.5</v>
      </c>
      <c r="M215" s="169">
        <v>25</v>
      </c>
      <c r="N215" s="169" t="s">
        <v>817</v>
      </c>
    </row>
    <row r="216" spans="1:14" ht="15">
      <c r="A216" s="4" t="s">
        <v>214</v>
      </c>
      <c r="B216" s="4" t="s">
        <v>1805</v>
      </c>
      <c r="C216" s="330" t="s">
        <v>816</v>
      </c>
      <c r="D216" s="331">
        <v>34.69</v>
      </c>
      <c r="E216" s="331">
        <v>0.69</v>
      </c>
      <c r="F216" s="331">
        <v>6.94</v>
      </c>
      <c r="G216" s="331">
        <v>7.44</v>
      </c>
      <c r="H216" s="331">
        <v>2.48</v>
      </c>
      <c r="I216" s="331"/>
      <c r="J216" s="165" t="s">
        <v>1105</v>
      </c>
      <c r="K216" s="165">
        <v>4.0352463500000004</v>
      </c>
      <c r="L216" s="165">
        <v>2.5</v>
      </c>
      <c r="M216" s="169">
        <v>25</v>
      </c>
      <c r="N216" s="169" t="s">
        <v>817</v>
      </c>
    </row>
    <row r="217" spans="1:14" ht="15">
      <c r="A217" s="4" t="s">
        <v>616</v>
      </c>
      <c r="B217" s="4" t="s">
        <v>1806</v>
      </c>
      <c r="C217" s="330" t="s">
        <v>816</v>
      </c>
      <c r="D217" s="331">
        <v>76.819999999999993</v>
      </c>
      <c r="E217" s="331">
        <v>14.44</v>
      </c>
      <c r="F217" s="331">
        <v>22.56</v>
      </c>
      <c r="G217" s="331">
        <v>13.69</v>
      </c>
      <c r="H217" s="331">
        <v>1.91</v>
      </c>
      <c r="I217" s="331"/>
      <c r="J217" s="165" t="s">
        <v>1105</v>
      </c>
      <c r="K217" s="165">
        <v>2.3671435199999999</v>
      </c>
      <c r="L217" s="165">
        <v>1.5</v>
      </c>
      <c r="M217" s="167">
        <v>25</v>
      </c>
      <c r="N217" s="166" t="s">
        <v>817</v>
      </c>
    </row>
    <row r="218" spans="1:14" ht="15">
      <c r="A218" s="4" t="s">
        <v>567</v>
      </c>
      <c r="B218" s="4" t="s">
        <v>213</v>
      </c>
      <c r="C218" s="330" t="s">
        <v>816</v>
      </c>
      <c r="D218" s="331">
        <v>40</v>
      </c>
      <c r="E218" s="331">
        <v>9.1999999999999993</v>
      </c>
      <c r="F218" s="331">
        <v>40</v>
      </c>
      <c r="G218" s="331">
        <v>40</v>
      </c>
      <c r="H218" s="331">
        <v>10</v>
      </c>
      <c r="I218" s="331"/>
      <c r="J218" s="165" t="s">
        <v>1105</v>
      </c>
      <c r="K218" s="165">
        <v>13.1828728</v>
      </c>
      <c r="L218" s="165">
        <v>3</v>
      </c>
      <c r="M218" s="169">
        <v>25</v>
      </c>
      <c r="N218" s="169" t="s">
        <v>817</v>
      </c>
    </row>
    <row r="219" spans="1:14" ht="15">
      <c r="A219" s="4" t="s">
        <v>643</v>
      </c>
      <c r="B219" s="4" t="s">
        <v>1807</v>
      </c>
      <c r="C219" s="330" t="s">
        <v>816</v>
      </c>
      <c r="D219" s="331">
        <v>28.5</v>
      </c>
      <c r="E219" s="331">
        <v>1.4</v>
      </c>
      <c r="F219" s="331">
        <v>2.61</v>
      </c>
      <c r="G219" s="331">
        <v>17.850000000000001</v>
      </c>
      <c r="H219" s="331">
        <v>4.88</v>
      </c>
      <c r="I219" s="331">
        <v>30</v>
      </c>
      <c r="J219" s="165" t="s">
        <v>1105</v>
      </c>
      <c r="K219" s="165">
        <v>17.0426623</v>
      </c>
      <c r="L219" s="165">
        <v>3</v>
      </c>
      <c r="M219" s="169">
        <v>25</v>
      </c>
      <c r="N219" s="169" t="s">
        <v>817</v>
      </c>
    </row>
    <row r="220" spans="1:14" ht="15">
      <c r="A220" s="4" t="s">
        <v>511</v>
      </c>
      <c r="B220" s="4" t="s">
        <v>359</v>
      </c>
      <c r="C220" s="330" t="s">
        <v>816</v>
      </c>
      <c r="D220" s="331">
        <v>1.5</v>
      </c>
      <c r="E220" s="331">
        <v>0</v>
      </c>
      <c r="F220" s="331">
        <v>20</v>
      </c>
      <c r="G220" s="331">
        <v>122</v>
      </c>
      <c r="H220" s="331">
        <v>12.6</v>
      </c>
      <c r="I220" s="331"/>
      <c r="J220" s="165" t="s">
        <v>1105</v>
      </c>
      <c r="K220" s="165">
        <v>80</v>
      </c>
      <c r="L220" s="165">
        <v>4.9294021900000002</v>
      </c>
      <c r="M220" s="169">
        <v>200</v>
      </c>
      <c r="N220" s="169" t="s">
        <v>817</v>
      </c>
    </row>
    <row r="221" spans="1:14" ht="15">
      <c r="A221" s="4" t="s">
        <v>787</v>
      </c>
      <c r="B221" s="4" t="s">
        <v>215</v>
      </c>
      <c r="C221" s="330" t="s">
        <v>814</v>
      </c>
      <c r="D221" s="331">
        <v>25</v>
      </c>
      <c r="E221" s="331">
        <v>2.5</v>
      </c>
      <c r="F221" s="331">
        <v>3</v>
      </c>
      <c r="G221" s="331">
        <v>40</v>
      </c>
      <c r="H221" s="331">
        <v>3</v>
      </c>
      <c r="I221" s="331">
        <v>70</v>
      </c>
      <c r="J221" s="165" t="s">
        <v>1105</v>
      </c>
      <c r="K221" s="165">
        <v>7.7339520500000001</v>
      </c>
      <c r="L221" s="165">
        <v>1.5</v>
      </c>
      <c r="M221" s="169">
        <v>25</v>
      </c>
      <c r="N221" s="169" t="s">
        <v>818</v>
      </c>
    </row>
    <row r="222" spans="1:14" ht="15">
      <c r="A222" s="4" t="s">
        <v>779</v>
      </c>
      <c r="B222" s="4" t="s">
        <v>1808</v>
      </c>
      <c r="C222" s="330" t="s">
        <v>816</v>
      </c>
      <c r="D222" s="331">
        <v>18</v>
      </c>
      <c r="E222" s="331">
        <v>0</v>
      </c>
      <c r="F222" s="331">
        <v>19</v>
      </c>
      <c r="G222" s="331">
        <v>45</v>
      </c>
      <c r="H222" s="331">
        <v>1.5</v>
      </c>
      <c r="I222" s="331">
        <v>30</v>
      </c>
      <c r="J222" s="165" t="s">
        <v>808</v>
      </c>
      <c r="K222" s="165">
        <v>10</v>
      </c>
      <c r="L222" s="165">
        <v>5</v>
      </c>
      <c r="M222" s="169">
        <v>200</v>
      </c>
      <c r="N222" s="169" t="s">
        <v>817</v>
      </c>
    </row>
    <row r="223" spans="1:14" ht="15">
      <c r="A223" s="4" t="s">
        <v>28</v>
      </c>
      <c r="B223" s="4" t="s">
        <v>1809</v>
      </c>
      <c r="C223" s="330" t="s">
        <v>814</v>
      </c>
      <c r="D223" s="331">
        <v>2.9</v>
      </c>
      <c r="E223" s="331">
        <v>0.9</v>
      </c>
      <c r="F223" s="331">
        <v>0.7</v>
      </c>
      <c r="G223" s="331">
        <v>5.2</v>
      </c>
      <c r="H223" s="331">
        <v>0</v>
      </c>
      <c r="I223" s="331"/>
      <c r="J223" s="165" t="s">
        <v>1105</v>
      </c>
      <c r="K223" s="165">
        <v>9.4257540599999992</v>
      </c>
      <c r="L223" s="165">
        <v>3</v>
      </c>
      <c r="M223" s="169">
        <v>25</v>
      </c>
      <c r="N223" s="169" t="s">
        <v>818</v>
      </c>
    </row>
    <row r="224" spans="1:14" ht="15">
      <c r="A224" s="4" t="s">
        <v>65</v>
      </c>
      <c r="B224" s="4" t="s">
        <v>1810</v>
      </c>
      <c r="C224" s="330" t="s">
        <v>814</v>
      </c>
      <c r="D224" s="331">
        <v>3</v>
      </c>
      <c r="E224" s="331">
        <v>0</v>
      </c>
      <c r="F224" s="331">
        <v>1.1499999999999999</v>
      </c>
      <c r="G224" s="331">
        <v>6.03</v>
      </c>
      <c r="H224" s="331">
        <v>0.33</v>
      </c>
      <c r="I224" s="331"/>
      <c r="J224" s="165" t="s">
        <v>1105</v>
      </c>
      <c r="K224" s="165">
        <v>5.9996133</v>
      </c>
      <c r="L224" s="165">
        <v>3</v>
      </c>
      <c r="M224" s="169">
        <v>25</v>
      </c>
      <c r="N224" s="169" t="s">
        <v>818</v>
      </c>
    </row>
    <row r="225" spans="1:14" ht="15">
      <c r="A225" s="4" t="s">
        <v>66</v>
      </c>
      <c r="B225" s="4" t="s">
        <v>1811</v>
      </c>
      <c r="C225" s="330" t="s">
        <v>814</v>
      </c>
      <c r="D225" s="331">
        <v>22</v>
      </c>
      <c r="E225" s="331">
        <v>0</v>
      </c>
      <c r="F225" s="331">
        <v>12</v>
      </c>
      <c r="G225" s="331">
        <v>80</v>
      </c>
      <c r="H225" s="331">
        <v>7</v>
      </c>
      <c r="I225" s="331"/>
      <c r="J225" s="165" t="s">
        <v>1105</v>
      </c>
      <c r="K225" s="165">
        <v>10</v>
      </c>
      <c r="L225" s="165">
        <v>3</v>
      </c>
      <c r="M225" s="169">
        <v>25</v>
      </c>
      <c r="N225" s="169" t="s">
        <v>818</v>
      </c>
    </row>
    <row r="226" spans="1:14" ht="15">
      <c r="A226" s="4" t="s">
        <v>690</v>
      </c>
      <c r="B226" s="4" t="s">
        <v>1812</v>
      </c>
      <c r="C226" s="330" t="s">
        <v>814</v>
      </c>
      <c r="D226" s="331">
        <v>25</v>
      </c>
      <c r="E226" s="331">
        <v>0.45000464000000001</v>
      </c>
      <c r="F226" s="331">
        <v>12</v>
      </c>
      <c r="G226" s="331">
        <v>0.21</v>
      </c>
      <c r="H226" s="331">
        <v>5</v>
      </c>
      <c r="I226" s="331"/>
      <c r="J226" s="165" t="s">
        <v>1105</v>
      </c>
      <c r="K226" s="165">
        <v>6.7454187900000004</v>
      </c>
      <c r="L226" s="165">
        <v>3</v>
      </c>
      <c r="M226" s="169">
        <v>25</v>
      </c>
      <c r="N226" s="169" t="s">
        <v>818</v>
      </c>
    </row>
    <row r="227" spans="1:14" ht="15">
      <c r="A227" s="4" t="s">
        <v>691</v>
      </c>
      <c r="B227" s="4" t="s">
        <v>1813</v>
      </c>
      <c r="C227" s="330" t="s">
        <v>814</v>
      </c>
      <c r="D227" s="331">
        <v>4.0999999999999996</v>
      </c>
      <c r="E227" s="331">
        <v>0.1</v>
      </c>
      <c r="F227" s="331">
        <v>1.2</v>
      </c>
      <c r="G227" s="331">
        <v>4.8</v>
      </c>
      <c r="H227" s="331">
        <v>0.8</v>
      </c>
      <c r="I227" s="331">
        <v>30</v>
      </c>
      <c r="J227" s="165" t="s">
        <v>1105</v>
      </c>
      <c r="K227" s="165">
        <v>5.1247099800000004</v>
      </c>
      <c r="L227" s="165">
        <v>3</v>
      </c>
      <c r="M227" s="169">
        <v>25</v>
      </c>
      <c r="N227" s="169" t="s">
        <v>818</v>
      </c>
    </row>
    <row r="228" spans="1:14" ht="15">
      <c r="A228" s="4" t="s">
        <v>67</v>
      </c>
      <c r="B228" s="4" t="s">
        <v>1814</v>
      </c>
      <c r="C228" s="330" t="s">
        <v>816</v>
      </c>
      <c r="D228" s="331">
        <v>122.85</v>
      </c>
      <c r="E228" s="331">
        <v>0</v>
      </c>
      <c r="F228" s="331">
        <v>15.28</v>
      </c>
      <c r="G228" s="331">
        <v>5.0199999999999996</v>
      </c>
      <c r="H228" s="331">
        <v>28.82</v>
      </c>
      <c r="I228" s="331"/>
      <c r="J228" s="165" t="s">
        <v>1105</v>
      </c>
      <c r="K228" s="165">
        <v>3.5047834400000002</v>
      </c>
      <c r="L228" s="165">
        <v>2</v>
      </c>
      <c r="M228" s="169">
        <v>15</v>
      </c>
      <c r="N228" s="169" t="s">
        <v>817</v>
      </c>
    </row>
    <row r="229" spans="1:14" ht="15">
      <c r="A229" s="4" t="s">
        <v>297</v>
      </c>
      <c r="B229" s="4" t="s">
        <v>1815</v>
      </c>
      <c r="C229" s="330" t="s">
        <v>816</v>
      </c>
      <c r="D229" s="331">
        <v>28.5</v>
      </c>
      <c r="E229" s="331">
        <v>0.06</v>
      </c>
      <c r="F229" s="331">
        <v>10.88</v>
      </c>
      <c r="G229" s="331">
        <v>34.33</v>
      </c>
      <c r="H229" s="331">
        <v>3.94</v>
      </c>
      <c r="I229" s="331"/>
      <c r="J229" s="165" t="s">
        <v>1105</v>
      </c>
      <c r="K229" s="165">
        <v>13.6620916</v>
      </c>
      <c r="L229" s="165">
        <v>3</v>
      </c>
      <c r="M229" s="169">
        <v>25</v>
      </c>
      <c r="N229" s="169" t="s">
        <v>817</v>
      </c>
    </row>
    <row r="230" spans="1:14" ht="15">
      <c r="A230" s="4" t="s">
        <v>530</v>
      </c>
      <c r="B230" s="4" t="s">
        <v>1816</v>
      </c>
      <c r="C230" s="330" t="s">
        <v>816</v>
      </c>
      <c r="D230" s="331">
        <v>28.5</v>
      </c>
      <c r="E230" s="331">
        <v>0.06</v>
      </c>
      <c r="F230" s="331">
        <v>10.88</v>
      </c>
      <c r="G230" s="331">
        <v>34.33</v>
      </c>
      <c r="H230" s="331">
        <v>3.94</v>
      </c>
      <c r="I230" s="331">
        <v>30</v>
      </c>
      <c r="J230" s="165" t="s">
        <v>1105</v>
      </c>
      <c r="K230" s="165">
        <v>13.6620916</v>
      </c>
      <c r="L230" s="165">
        <v>3</v>
      </c>
      <c r="M230" s="169">
        <v>25</v>
      </c>
      <c r="N230" s="169" t="s">
        <v>817</v>
      </c>
    </row>
    <row r="231" spans="1:14" ht="15">
      <c r="A231" s="4" t="s">
        <v>69</v>
      </c>
      <c r="B231" s="4" t="s">
        <v>1817</v>
      </c>
      <c r="C231" s="330" t="s">
        <v>816</v>
      </c>
      <c r="D231" s="331">
        <v>50</v>
      </c>
      <c r="E231" s="331">
        <v>4</v>
      </c>
      <c r="F231" s="331">
        <v>206</v>
      </c>
      <c r="G231" s="331">
        <v>3.62</v>
      </c>
      <c r="H231" s="331">
        <v>4.3099999999999996</v>
      </c>
      <c r="I231" s="331">
        <v>70</v>
      </c>
      <c r="J231" s="165" t="s">
        <v>1105</v>
      </c>
      <c r="K231" s="165">
        <v>8.1521739100000001</v>
      </c>
      <c r="L231" s="165">
        <v>3</v>
      </c>
      <c r="M231" s="169">
        <v>20</v>
      </c>
      <c r="N231" s="169" t="s">
        <v>817</v>
      </c>
    </row>
    <row r="232" spans="1:14" ht="15">
      <c r="A232" s="4" t="s">
        <v>70</v>
      </c>
      <c r="B232" s="4" t="s">
        <v>1818</v>
      </c>
      <c r="C232" s="330" t="s">
        <v>816</v>
      </c>
      <c r="D232" s="331">
        <v>50</v>
      </c>
      <c r="E232" s="331">
        <v>4</v>
      </c>
      <c r="F232" s="331">
        <v>206</v>
      </c>
      <c r="G232" s="331">
        <v>3.62</v>
      </c>
      <c r="H232" s="331">
        <v>4.3099999999999996</v>
      </c>
      <c r="I232" s="331">
        <v>70</v>
      </c>
      <c r="J232" s="165" t="s">
        <v>1105</v>
      </c>
      <c r="K232" s="165">
        <v>8.1521739100000001</v>
      </c>
      <c r="L232" s="165">
        <v>3</v>
      </c>
      <c r="M232" s="169">
        <v>20</v>
      </c>
      <c r="N232" s="169" t="s">
        <v>817</v>
      </c>
    </row>
    <row r="233" spans="1:14" ht="15">
      <c r="A233" s="4" t="s">
        <v>733</v>
      </c>
      <c r="B233" s="4" t="s">
        <v>1819</v>
      </c>
      <c r="C233" s="330" t="s">
        <v>816</v>
      </c>
      <c r="D233" s="331">
        <v>83.07</v>
      </c>
      <c r="E233" s="331">
        <v>6.23</v>
      </c>
      <c r="F233" s="331">
        <v>83.22</v>
      </c>
      <c r="G233" s="331">
        <v>5.52</v>
      </c>
      <c r="H233" s="331">
        <v>4.58</v>
      </c>
      <c r="I233" s="331">
        <v>70</v>
      </c>
      <c r="J233" s="165" t="s">
        <v>1105</v>
      </c>
      <c r="K233" s="165">
        <v>5.2778636700000003</v>
      </c>
      <c r="L233" s="165">
        <v>3</v>
      </c>
      <c r="M233" s="169">
        <v>20</v>
      </c>
      <c r="N233" s="169" t="s">
        <v>817</v>
      </c>
    </row>
    <row r="234" spans="1:14" ht="15">
      <c r="A234" s="4" t="s">
        <v>20</v>
      </c>
      <c r="B234" s="4" t="s">
        <v>298</v>
      </c>
      <c r="C234" s="330" t="s">
        <v>816</v>
      </c>
      <c r="D234" s="331">
        <v>40</v>
      </c>
      <c r="E234" s="331">
        <v>4</v>
      </c>
      <c r="F234" s="331">
        <v>10</v>
      </c>
      <c r="G234" s="331">
        <v>60</v>
      </c>
      <c r="H234" s="331">
        <v>1</v>
      </c>
      <c r="I234" s="331"/>
      <c r="J234" s="165" t="s">
        <v>1105</v>
      </c>
      <c r="K234" s="165">
        <v>5</v>
      </c>
      <c r="L234" s="165">
        <v>1.5</v>
      </c>
      <c r="M234" s="169">
        <v>25</v>
      </c>
      <c r="N234" s="169" t="s">
        <v>817</v>
      </c>
    </row>
    <row r="235" spans="1:14" ht="15">
      <c r="A235" s="4" t="s">
        <v>21</v>
      </c>
      <c r="B235" s="4" t="s">
        <v>1820</v>
      </c>
      <c r="C235" s="330" t="s">
        <v>816</v>
      </c>
      <c r="D235" s="331">
        <v>6.3</v>
      </c>
      <c r="E235" s="331">
        <v>0</v>
      </c>
      <c r="F235" s="331">
        <v>2.1</v>
      </c>
      <c r="G235" s="331">
        <v>6.7</v>
      </c>
      <c r="H235" s="331">
        <v>2.2000000000000002</v>
      </c>
      <c r="I235" s="331"/>
      <c r="J235" s="165" t="s">
        <v>1105</v>
      </c>
      <c r="K235" s="165">
        <v>25</v>
      </c>
      <c r="L235" s="165">
        <v>3.58</v>
      </c>
      <c r="M235" s="169">
        <v>200</v>
      </c>
      <c r="N235" s="169" t="s">
        <v>817</v>
      </c>
    </row>
    <row r="236" spans="1:14" ht="15">
      <c r="A236" s="4" t="s">
        <v>784</v>
      </c>
      <c r="B236" s="4" t="s">
        <v>1821</v>
      </c>
      <c r="C236" s="330" t="s">
        <v>816</v>
      </c>
      <c r="D236" s="331">
        <v>28.5</v>
      </c>
      <c r="E236" s="331">
        <v>0.06</v>
      </c>
      <c r="F236" s="331">
        <v>10.88</v>
      </c>
      <c r="G236" s="331">
        <v>34.33</v>
      </c>
      <c r="H236" s="331">
        <v>3.94</v>
      </c>
      <c r="I236" s="331"/>
      <c r="J236" s="165" t="s">
        <v>1105</v>
      </c>
      <c r="K236" s="165">
        <v>13.6620916</v>
      </c>
      <c r="L236" s="165">
        <v>3</v>
      </c>
      <c r="M236" s="169">
        <v>25</v>
      </c>
      <c r="N236" s="169" t="s">
        <v>817</v>
      </c>
    </row>
    <row r="237" spans="1:14" ht="15">
      <c r="A237" s="4" t="s">
        <v>676</v>
      </c>
      <c r="B237" s="4" t="s">
        <v>1822</v>
      </c>
      <c r="C237" s="330" t="s">
        <v>816</v>
      </c>
      <c r="D237" s="331">
        <v>66.97</v>
      </c>
      <c r="E237" s="331">
        <v>0</v>
      </c>
      <c r="F237" s="331">
        <v>13.11</v>
      </c>
      <c r="G237" s="331">
        <v>22.37</v>
      </c>
      <c r="H237" s="331">
        <v>4.2300000000000004</v>
      </c>
      <c r="I237" s="331"/>
      <c r="J237" s="165" t="s">
        <v>1105</v>
      </c>
      <c r="K237" s="165">
        <v>5.2429369799999996</v>
      </c>
      <c r="L237" s="165">
        <v>3</v>
      </c>
      <c r="M237" s="169">
        <v>50</v>
      </c>
      <c r="N237" s="169" t="s">
        <v>817</v>
      </c>
    </row>
    <row r="238" spans="1:14" ht="15">
      <c r="A238" s="4" t="s">
        <v>71</v>
      </c>
      <c r="B238" s="4" t="s">
        <v>734</v>
      </c>
      <c r="C238" s="330" t="s">
        <v>816</v>
      </c>
      <c r="D238" s="331">
        <v>31.4</v>
      </c>
      <c r="E238" s="331">
        <v>0.31</v>
      </c>
      <c r="F238" s="331">
        <v>0.37</v>
      </c>
      <c r="G238" s="331">
        <v>0.67</v>
      </c>
      <c r="H238" s="331">
        <v>18.5</v>
      </c>
      <c r="I238" s="331"/>
      <c r="J238" s="165" t="s">
        <v>1105</v>
      </c>
      <c r="K238" s="165">
        <v>4.0398021200000001</v>
      </c>
      <c r="L238" s="165">
        <v>1.5</v>
      </c>
      <c r="M238" s="169">
        <v>25</v>
      </c>
      <c r="N238" s="169" t="s">
        <v>817</v>
      </c>
    </row>
    <row r="239" spans="1:14" ht="15">
      <c r="A239" s="4" t="s">
        <v>72</v>
      </c>
      <c r="B239" s="4" t="s">
        <v>1823</v>
      </c>
      <c r="C239" s="330" t="s">
        <v>816</v>
      </c>
      <c r="D239" s="331">
        <v>47.17</v>
      </c>
      <c r="E239" s="331">
        <v>0.45</v>
      </c>
      <c r="F239" s="331">
        <v>11.96</v>
      </c>
      <c r="G239" s="331">
        <v>9</v>
      </c>
      <c r="H239" s="331">
        <v>2.69</v>
      </c>
      <c r="I239" s="331">
        <v>30</v>
      </c>
      <c r="J239" s="165" t="s">
        <v>1105</v>
      </c>
      <c r="K239" s="165">
        <v>8.18781684</v>
      </c>
      <c r="L239" s="165">
        <v>3</v>
      </c>
      <c r="M239" s="169">
        <v>15</v>
      </c>
      <c r="N239" s="169" t="s">
        <v>817</v>
      </c>
    </row>
    <row r="240" spans="1:14" ht="15">
      <c r="A240" s="4" t="s">
        <v>216</v>
      </c>
      <c r="B240" s="4" t="s">
        <v>1824</v>
      </c>
      <c r="C240" s="330" t="s">
        <v>816</v>
      </c>
      <c r="D240" s="331">
        <v>47.17</v>
      </c>
      <c r="E240" s="331">
        <v>0.45</v>
      </c>
      <c r="F240" s="331">
        <v>11.96</v>
      </c>
      <c r="G240" s="331">
        <v>9</v>
      </c>
      <c r="H240" s="331">
        <v>2.69</v>
      </c>
      <c r="I240" s="331"/>
      <c r="J240" s="165" t="s">
        <v>1105</v>
      </c>
      <c r="K240" s="165">
        <v>8.18781684</v>
      </c>
      <c r="L240" s="165">
        <v>3</v>
      </c>
      <c r="M240" s="169">
        <v>15</v>
      </c>
      <c r="N240" s="169" t="s">
        <v>817</v>
      </c>
    </row>
    <row r="241" spans="1:14" ht="15">
      <c r="A241" s="4" t="s">
        <v>795</v>
      </c>
      <c r="B241" s="4" t="s">
        <v>1825</v>
      </c>
      <c r="C241" s="330" t="s">
        <v>816</v>
      </c>
      <c r="D241" s="331">
        <v>47.17</v>
      </c>
      <c r="E241" s="331">
        <v>0.45</v>
      </c>
      <c r="F241" s="331">
        <v>11.96</v>
      </c>
      <c r="G241" s="331">
        <v>9</v>
      </c>
      <c r="H241" s="331">
        <v>2.69</v>
      </c>
      <c r="I241" s="331">
        <v>30</v>
      </c>
      <c r="J241" s="165" t="s">
        <v>1105</v>
      </c>
      <c r="K241" s="165">
        <v>8.18781684</v>
      </c>
      <c r="L241" s="165">
        <v>3</v>
      </c>
      <c r="M241" s="169">
        <v>15</v>
      </c>
      <c r="N241" s="169" t="s">
        <v>817</v>
      </c>
    </row>
    <row r="242" spans="1:14" ht="15">
      <c r="A242" s="4" t="s">
        <v>785</v>
      </c>
      <c r="B242" s="4" t="s">
        <v>1826</v>
      </c>
      <c r="C242" s="330" t="s">
        <v>816</v>
      </c>
      <c r="D242" s="331">
        <v>54</v>
      </c>
      <c r="E242" s="331">
        <v>0</v>
      </c>
      <c r="F242" s="331">
        <v>9.6199999999999992</v>
      </c>
      <c r="G242" s="331">
        <v>10.85</v>
      </c>
      <c r="H242" s="331">
        <v>2.65</v>
      </c>
      <c r="I242" s="331">
        <v>30</v>
      </c>
      <c r="J242" s="165" t="s">
        <v>1105</v>
      </c>
      <c r="K242" s="165">
        <v>6.49995703</v>
      </c>
      <c r="L242" s="165">
        <v>3</v>
      </c>
      <c r="M242" s="169">
        <v>15</v>
      </c>
      <c r="N242" s="169" t="s">
        <v>817</v>
      </c>
    </row>
    <row r="243" spans="1:14" ht="15">
      <c r="A243" s="4" t="s">
        <v>682</v>
      </c>
      <c r="B243" s="4" t="s">
        <v>1827</v>
      </c>
      <c r="C243" s="330" t="s">
        <v>816</v>
      </c>
      <c r="D243" s="331">
        <v>28.5</v>
      </c>
      <c r="E243" s="331">
        <v>0.06</v>
      </c>
      <c r="F243" s="331">
        <v>10.88</v>
      </c>
      <c r="G243" s="331">
        <v>34.33</v>
      </c>
      <c r="H243" s="331">
        <v>3.94</v>
      </c>
      <c r="I243" s="331"/>
      <c r="J243" s="165" t="s">
        <v>1105</v>
      </c>
      <c r="K243" s="165">
        <v>13.6620916</v>
      </c>
      <c r="L243" s="165">
        <v>3</v>
      </c>
      <c r="M243" s="169">
        <v>25</v>
      </c>
      <c r="N243" s="169" t="s">
        <v>817</v>
      </c>
    </row>
    <row r="244" spans="1:14" ht="15">
      <c r="A244" s="4" t="s">
        <v>121</v>
      </c>
      <c r="B244" s="4" t="s">
        <v>1828</v>
      </c>
      <c r="C244" s="330" t="s">
        <v>816</v>
      </c>
      <c r="D244" s="331">
        <v>28.5</v>
      </c>
      <c r="E244" s="331">
        <v>0.06</v>
      </c>
      <c r="F244" s="331">
        <v>10.88</v>
      </c>
      <c r="G244" s="331">
        <v>34.33</v>
      </c>
      <c r="H244" s="331">
        <v>3.94</v>
      </c>
      <c r="I244" s="331">
        <v>30</v>
      </c>
      <c r="J244" s="165" t="s">
        <v>1105</v>
      </c>
      <c r="K244" s="165">
        <v>13.6620916</v>
      </c>
      <c r="L244" s="165">
        <v>3</v>
      </c>
      <c r="M244" s="169">
        <v>25</v>
      </c>
      <c r="N244" s="169" t="s">
        <v>817</v>
      </c>
    </row>
    <row r="245" spans="1:14" ht="15">
      <c r="A245" s="4" t="s">
        <v>218</v>
      </c>
      <c r="B245" s="4" t="s">
        <v>217</v>
      </c>
      <c r="C245" s="330" t="s">
        <v>814</v>
      </c>
      <c r="D245" s="331">
        <v>45</v>
      </c>
      <c r="E245" s="331">
        <v>4.5</v>
      </c>
      <c r="F245" s="331">
        <v>3</v>
      </c>
      <c r="G245" s="331">
        <v>60</v>
      </c>
      <c r="H245" s="331">
        <v>1</v>
      </c>
      <c r="I245" s="331"/>
      <c r="J245" s="165" t="s">
        <v>1105</v>
      </c>
      <c r="K245" s="165">
        <v>5.7288533700000004</v>
      </c>
      <c r="L245" s="165">
        <v>1.5</v>
      </c>
      <c r="M245" s="169">
        <v>25</v>
      </c>
      <c r="N245" s="169" t="s">
        <v>817</v>
      </c>
    </row>
    <row r="246" spans="1:14" ht="15">
      <c r="A246" s="4" t="s">
        <v>747</v>
      </c>
      <c r="B246" s="4" t="s">
        <v>1829</v>
      </c>
      <c r="C246" s="330" t="s">
        <v>816</v>
      </c>
      <c r="D246" s="331">
        <v>41.14</v>
      </c>
      <c r="E246" s="331">
        <v>0.17</v>
      </c>
      <c r="F246" s="331">
        <v>1.02</v>
      </c>
      <c r="G246" s="331">
        <v>4.99</v>
      </c>
      <c r="H246" s="331">
        <v>0.35</v>
      </c>
      <c r="I246" s="331"/>
      <c r="J246" s="165" t="s">
        <v>1105</v>
      </c>
      <c r="K246" s="165">
        <v>9.3930140699999995</v>
      </c>
      <c r="L246" s="165">
        <v>6</v>
      </c>
      <c r="M246" s="169">
        <v>25</v>
      </c>
      <c r="N246" s="169" t="s">
        <v>817</v>
      </c>
    </row>
    <row r="247" spans="1:14" ht="15">
      <c r="A247" s="4" t="s">
        <v>402</v>
      </c>
      <c r="B247" s="4" t="s">
        <v>1830</v>
      </c>
      <c r="C247" s="330" t="s">
        <v>816</v>
      </c>
      <c r="D247" s="331">
        <v>41.14</v>
      </c>
      <c r="E247" s="331">
        <v>0.17</v>
      </c>
      <c r="F247" s="331">
        <v>1.19</v>
      </c>
      <c r="G247" s="331">
        <v>4.82</v>
      </c>
      <c r="H247" s="331">
        <v>0.35</v>
      </c>
      <c r="I247" s="331"/>
      <c r="J247" s="165" t="s">
        <v>1105</v>
      </c>
      <c r="K247" s="165">
        <v>9.3930140699999995</v>
      </c>
      <c r="L247" s="165">
        <v>6</v>
      </c>
      <c r="M247" s="169">
        <v>25</v>
      </c>
      <c r="N247" s="169" t="s">
        <v>817</v>
      </c>
    </row>
    <row r="248" spans="1:14" ht="15">
      <c r="A248" s="4" t="s">
        <v>404</v>
      </c>
      <c r="B248" s="4" t="s">
        <v>1831</v>
      </c>
      <c r="C248" s="330" t="s">
        <v>816</v>
      </c>
      <c r="D248" s="331">
        <v>40</v>
      </c>
      <c r="E248" s="331">
        <v>0</v>
      </c>
      <c r="F248" s="331">
        <v>10.08</v>
      </c>
      <c r="G248" s="331">
        <v>50.01</v>
      </c>
      <c r="H248" s="331">
        <v>0</v>
      </c>
      <c r="I248" s="331"/>
      <c r="J248" s="165" t="s">
        <v>1105</v>
      </c>
      <c r="K248" s="165">
        <v>9</v>
      </c>
      <c r="L248" s="165">
        <v>6</v>
      </c>
      <c r="M248" s="169">
        <v>25</v>
      </c>
      <c r="N248" s="169" t="s">
        <v>817</v>
      </c>
    </row>
    <row r="249" spans="1:14" ht="15">
      <c r="A249" s="4" t="s">
        <v>593</v>
      </c>
      <c r="B249" s="4" t="s">
        <v>122</v>
      </c>
      <c r="C249" s="330" t="s">
        <v>816</v>
      </c>
      <c r="D249" s="331">
        <v>100</v>
      </c>
      <c r="E249" s="331">
        <v>2.5</v>
      </c>
      <c r="F249" s="331">
        <v>70</v>
      </c>
      <c r="G249" s="331">
        <v>10</v>
      </c>
      <c r="H249" s="331">
        <v>2</v>
      </c>
      <c r="I249" s="331"/>
      <c r="J249" s="165" t="s">
        <v>1105</v>
      </c>
      <c r="K249" s="165">
        <v>4.7593551099999996</v>
      </c>
      <c r="L249" s="165">
        <v>3</v>
      </c>
      <c r="M249" s="169">
        <v>25</v>
      </c>
      <c r="N249" s="169" t="s">
        <v>817</v>
      </c>
    </row>
    <row r="250" spans="1:14" ht="15">
      <c r="A250" s="4" t="s">
        <v>599</v>
      </c>
      <c r="B250" s="4" t="s">
        <v>219</v>
      </c>
      <c r="C250" s="330" t="s">
        <v>816</v>
      </c>
      <c r="D250" s="331">
        <v>100</v>
      </c>
      <c r="E250" s="331">
        <v>0</v>
      </c>
      <c r="F250" s="331">
        <v>70</v>
      </c>
      <c r="G250" s="331">
        <v>10</v>
      </c>
      <c r="H250" s="331">
        <v>2</v>
      </c>
      <c r="I250" s="331"/>
      <c r="J250" s="165" t="s">
        <v>1105</v>
      </c>
      <c r="K250" s="165">
        <v>4.6403712300000004</v>
      </c>
      <c r="L250" s="165">
        <v>3</v>
      </c>
      <c r="M250" s="169">
        <v>20</v>
      </c>
      <c r="N250" s="169" t="s">
        <v>817</v>
      </c>
    </row>
    <row r="251" spans="1:14" ht="15">
      <c r="A251" s="4" t="s">
        <v>627</v>
      </c>
      <c r="B251" s="4" t="s">
        <v>748</v>
      </c>
      <c r="C251" s="330" t="s">
        <v>816</v>
      </c>
      <c r="D251" s="331">
        <v>1.1000000000000001</v>
      </c>
      <c r="E251" s="331">
        <v>0.11</v>
      </c>
      <c r="F251" s="331">
        <v>0.6</v>
      </c>
      <c r="G251" s="331">
        <v>4.7</v>
      </c>
      <c r="H251" s="331">
        <v>0</v>
      </c>
      <c r="I251" s="331"/>
      <c r="J251" s="165" t="s">
        <v>1105</v>
      </c>
      <c r="K251" s="165">
        <v>12.3040146</v>
      </c>
      <c r="L251" s="165">
        <v>1.5</v>
      </c>
      <c r="M251" s="169">
        <v>25</v>
      </c>
      <c r="N251" s="169" t="s">
        <v>817</v>
      </c>
    </row>
    <row r="252" spans="1:14" ht="15">
      <c r="A252" s="4" t="s">
        <v>628</v>
      </c>
      <c r="B252" s="4" t="s">
        <v>403</v>
      </c>
      <c r="C252" s="330" t="s">
        <v>816</v>
      </c>
      <c r="D252" s="331">
        <v>13</v>
      </c>
      <c r="E252" s="331">
        <v>0</v>
      </c>
      <c r="F252" s="331">
        <v>17.5</v>
      </c>
      <c r="G252" s="331">
        <v>10.199999999999999</v>
      </c>
      <c r="H252" s="331">
        <v>10.8</v>
      </c>
      <c r="I252" s="331"/>
      <c r="J252" s="165" t="s">
        <v>1105</v>
      </c>
      <c r="K252" s="165">
        <v>18.739960700000001</v>
      </c>
      <c r="L252" s="165">
        <v>6</v>
      </c>
      <c r="M252" s="169">
        <v>25</v>
      </c>
      <c r="N252" s="169" t="s">
        <v>817</v>
      </c>
    </row>
    <row r="253" spans="1:14" ht="15">
      <c r="A253" s="4" t="s">
        <v>607</v>
      </c>
      <c r="B253" s="4" t="s">
        <v>405</v>
      </c>
      <c r="C253" s="330" t="s">
        <v>816</v>
      </c>
      <c r="D253" s="331">
        <v>13</v>
      </c>
      <c r="E253" s="331">
        <v>0.52</v>
      </c>
      <c r="F253" s="331">
        <v>17.5</v>
      </c>
      <c r="G253" s="331">
        <v>10.199999999999999</v>
      </c>
      <c r="H253" s="331">
        <v>0</v>
      </c>
      <c r="I253" s="331"/>
      <c r="J253" s="165" t="s">
        <v>1105</v>
      </c>
      <c r="K253" s="165">
        <v>19.520792400000001</v>
      </c>
      <c r="L253" s="165">
        <v>6</v>
      </c>
      <c r="M253" s="169">
        <v>25</v>
      </c>
      <c r="N253" s="169" t="s">
        <v>817</v>
      </c>
    </row>
    <row r="254" spans="1:14" ht="15">
      <c r="A254" s="4" t="s">
        <v>637</v>
      </c>
      <c r="B254" s="4" t="s">
        <v>1832</v>
      </c>
      <c r="C254" s="330" t="s">
        <v>814</v>
      </c>
      <c r="D254" s="331">
        <v>4</v>
      </c>
      <c r="E254" s="331">
        <v>3</v>
      </c>
      <c r="F254" s="331">
        <v>1.8</v>
      </c>
      <c r="G254" s="331">
        <v>3.3</v>
      </c>
      <c r="H254" s="331">
        <v>0.9</v>
      </c>
      <c r="I254" s="331">
        <v>60</v>
      </c>
      <c r="J254" s="165" t="s">
        <v>1105</v>
      </c>
      <c r="K254" s="165">
        <v>20.301624100000002</v>
      </c>
      <c r="L254" s="165">
        <v>3</v>
      </c>
      <c r="M254" s="167">
        <v>200</v>
      </c>
      <c r="N254" s="166" t="s">
        <v>818</v>
      </c>
    </row>
    <row r="255" spans="1:14" ht="15">
      <c r="A255" s="4" t="s">
        <v>638</v>
      </c>
      <c r="B255" s="4" t="s">
        <v>1833</v>
      </c>
      <c r="C255" s="330" t="s">
        <v>814</v>
      </c>
      <c r="D255" s="331">
        <v>4.9000000000000004</v>
      </c>
      <c r="E255" s="331">
        <v>3.3</v>
      </c>
      <c r="F255" s="331">
        <v>2.5</v>
      </c>
      <c r="G255" s="331">
        <v>4.3</v>
      </c>
      <c r="H255" s="331">
        <v>1.2</v>
      </c>
      <c r="I255" s="331">
        <v>60</v>
      </c>
      <c r="J255" s="165" t="s">
        <v>1105</v>
      </c>
      <c r="K255" s="165">
        <v>19.906467500000002</v>
      </c>
      <c r="L255" s="165">
        <v>3</v>
      </c>
      <c r="M255" s="167">
        <v>200</v>
      </c>
      <c r="N255" s="166" t="s">
        <v>818</v>
      </c>
    </row>
    <row r="256" spans="1:14" ht="15">
      <c r="A256" s="4" t="s">
        <v>652</v>
      </c>
      <c r="B256" s="4" t="s">
        <v>1834</v>
      </c>
      <c r="C256" s="330" t="s">
        <v>814</v>
      </c>
      <c r="D256" s="331">
        <v>5.7</v>
      </c>
      <c r="E256" s="331">
        <v>3.4</v>
      </c>
      <c r="F256" s="331">
        <v>3.34</v>
      </c>
      <c r="G256" s="331">
        <v>5.19</v>
      </c>
      <c r="H256" s="331">
        <v>0.83</v>
      </c>
      <c r="I256" s="331">
        <v>60</v>
      </c>
      <c r="J256" s="165" t="s">
        <v>1105</v>
      </c>
      <c r="K256" s="165">
        <v>16.107636400000001</v>
      </c>
      <c r="L256" s="165">
        <v>3</v>
      </c>
      <c r="M256" s="167">
        <v>200</v>
      </c>
      <c r="N256" s="166" t="s">
        <v>818</v>
      </c>
    </row>
    <row r="257" spans="1:14" ht="15">
      <c r="A257" s="4" t="s">
        <v>653</v>
      </c>
      <c r="B257" s="4" t="s">
        <v>1835</v>
      </c>
      <c r="C257" s="330" t="s">
        <v>814</v>
      </c>
      <c r="D257" s="331">
        <v>3.8</v>
      </c>
      <c r="E257" s="331">
        <v>2.2000000000000002</v>
      </c>
      <c r="F257" s="331">
        <v>1.83</v>
      </c>
      <c r="G257" s="331">
        <v>2.89</v>
      </c>
      <c r="H257" s="331">
        <v>0.75</v>
      </c>
      <c r="I257" s="331">
        <v>60</v>
      </c>
      <c r="J257" s="165" t="s">
        <v>1105</v>
      </c>
      <c r="K257" s="165">
        <v>23.7492749</v>
      </c>
      <c r="L257" s="165">
        <v>3</v>
      </c>
      <c r="M257" s="167">
        <v>200</v>
      </c>
      <c r="N257" s="166" t="s">
        <v>818</v>
      </c>
    </row>
    <row r="258" spans="1:14" ht="15">
      <c r="A258" s="4" t="s">
        <v>336</v>
      </c>
      <c r="B258" s="4" t="s">
        <v>1836</v>
      </c>
      <c r="C258" s="330" t="s">
        <v>814</v>
      </c>
      <c r="D258" s="331">
        <v>2.5</v>
      </c>
      <c r="E258" s="331">
        <v>1.8</v>
      </c>
      <c r="F258" s="331">
        <v>0.9</v>
      </c>
      <c r="G258" s="331">
        <v>4</v>
      </c>
      <c r="H258" s="331">
        <v>0.5</v>
      </c>
      <c r="I258" s="331">
        <v>90</v>
      </c>
      <c r="J258" s="165" t="s">
        <v>1105</v>
      </c>
      <c r="K258" s="165">
        <v>17.857142899999999</v>
      </c>
      <c r="L258" s="165">
        <v>3</v>
      </c>
      <c r="M258" s="169">
        <v>200</v>
      </c>
      <c r="N258" s="169" t="s">
        <v>818</v>
      </c>
    </row>
    <row r="259" spans="1:14" ht="15">
      <c r="A259" s="4" t="s">
        <v>406</v>
      </c>
      <c r="B259" s="4" t="s">
        <v>1837</v>
      </c>
      <c r="C259" s="330" t="s">
        <v>814</v>
      </c>
      <c r="D259" s="331">
        <v>2.4</v>
      </c>
      <c r="E259" s="331">
        <v>2.1</v>
      </c>
      <c r="F259" s="331">
        <v>0.57999999999999996</v>
      </c>
      <c r="G259" s="331">
        <v>5.72</v>
      </c>
      <c r="H259" s="331">
        <v>0.12</v>
      </c>
      <c r="I259" s="331">
        <v>90</v>
      </c>
      <c r="J259" s="165" t="s">
        <v>812</v>
      </c>
      <c r="K259" s="165">
        <v>31.9992266</v>
      </c>
      <c r="L259" s="165">
        <v>3</v>
      </c>
      <c r="M259" s="169">
        <v>200</v>
      </c>
      <c r="N259" s="169" t="s">
        <v>818</v>
      </c>
    </row>
    <row r="260" spans="1:14" ht="15">
      <c r="A260" s="4" t="s">
        <v>408</v>
      </c>
      <c r="B260" s="4" t="s">
        <v>1838</v>
      </c>
      <c r="C260" s="330" t="s">
        <v>814</v>
      </c>
      <c r="D260" s="331">
        <v>2</v>
      </c>
      <c r="E260" s="331">
        <v>1.8</v>
      </c>
      <c r="F260" s="331">
        <v>0.56999999999999995</v>
      </c>
      <c r="G260" s="331">
        <v>4.58</v>
      </c>
      <c r="H260" s="331">
        <v>0.17</v>
      </c>
      <c r="I260" s="331">
        <v>90</v>
      </c>
      <c r="J260" s="165" t="s">
        <v>812</v>
      </c>
      <c r="K260" s="165">
        <v>50</v>
      </c>
      <c r="L260" s="165">
        <v>3</v>
      </c>
      <c r="M260" s="169">
        <v>200</v>
      </c>
      <c r="N260" s="169" t="s">
        <v>818</v>
      </c>
    </row>
    <row r="261" spans="1:14" ht="15">
      <c r="A261" s="4" t="s">
        <v>749</v>
      </c>
      <c r="B261" s="4" t="s">
        <v>1839</v>
      </c>
      <c r="C261" s="330" t="s">
        <v>816</v>
      </c>
      <c r="D261" s="331">
        <v>6.6</v>
      </c>
      <c r="E261" s="331">
        <v>1.5</v>
      </c>
      <c r="F261" s="331">
        <v>4.3099999999999996</v>
      </c>
      <c r="G261" s="331">
        <v>9.48</v>
      </c>
      <c r="H261" s="331">
        <v>1.75</v>
      </c>
      <c r="I261" s="331">
        <v>30</v>
      </c>
      <c r="J261" s="165" t="s">
        <v>807</v>
      </c>
      <c r="K261" s="165">
        <v>15.529320800000001</v>
      </c>
      <c r="L261" s="165">
        <v>5</v>
      </c>
      <c r="M261" s="169">
        <v>200</v>
      </c>
      <c r="N261" s="169" t="s">
        <v>817</v>
      </c>
    </row>
    <row r="262" spans="1:14" ht="15">
      <c r="A262" s="4" t="s">
        <v>739</v>
      </c>
      <c r="B262" s="4" t="s">
        <v>1840</v>
      </c>
      <c r="C262" s="330" t="s">
        <v>816</v>
      </c>
      <c r="D262" s="331">
        <v>5.5</v>
      </c>
      <c r="E262" s="331">
        <v>1.3</v>
      </c>
      <c r="F262" s="331">
        <v>4.12</v>
      </c>
      <c r="G262" s="331">
        <v>6.99</v>
      </c>
      <c r="H262" s="331">
        <v>1.66</v>
      </c>
      <c r="I262" s="331">
        <v>30</v>
      </c>
      <c r="J262" s="165" t="s">
        <v>807</v>
      </c>
      <c r="K262" s="165">
        <v>18.333609500000001</v>
      </c>
      <c r="L262" s="165">
        <v>5</v>
      </c>
      <c r="M262" s="169">
        <v>200</v>
      </c>
      <c r="N262" s="169" t="s">
        <v>817</v>
      </c>
    </row>
    <row r="263" spans="1:14" ht="15">
      <c r="A263" s="4" t="s">
        <v>222</v>
      </c>
      <c r="B263" s="4" t="s">
        <v>337</v>
      </c>
      <c r="C263" s="330" t="s">
        <v>816</v>
      </c>
      <c r="D263" s="331">
        <v>130</v>
      </c>
      <c r="E263" s="331">
        <v>13</v>
      </c>
      <c r="F263" s="331">
        <v>0</v>
      </c>
      <c r="G263" s="331">
        <v>0</v>
      </c>
      <c r="H263" s="331">
        <v>1</v>
      </c>
      <c r="I263" s="331"/>
      <c r="J263" s="165" t="s">
        <v>1105</v>
      </c>
      <c r="K263" s="165">
        <v>4.2140123300000001</v>
      </c>
      <c r="L263" s="165">
        <v>1.5</v>
      </c>
      <c r="M263" s="167">
        <v>25</v>
      </c>
      <c r="N263" s="166" t="s">
        <v>817</v>
      </c>
    </row>
    <row r="264" spans="1:14" ht="15">
      <c r="A264" s="4" t="s">
        <v>299</v>
      </c>
      <c r="B264" s="4" t="s">
        <v>407</v>
      </c>
      <c r="C264" s="330" t="s">
        <v>816</v>
      </c>
      <c r="D264" s="331">
        <v>37</v>
      </c>
      <c r="E264" s="331">
        <v>8.51</v>
      </c>
      <c r="F264" s="331">
        <v>27</v>
      </c>
      <c r="G264" s="331">
        <v>23</v>
      </c>
      <c r="H264" s="331">
        <v>10</v>
      </c>
      <c r="I264" s="331"/>
      <c r="J264" s="165" t="s">
        <v>1105</v>
      </c>
      <c r="K264" s="165">
        <v>13.233771900000001</v>
      </c>
      <c r="L264" s="165">
        <v>3</v>
      </c>
      <c r="M264" s="169">
        <v>25</v>
      </c>
      <c r="N264" s="169" t="s">
        <v>817</v>
      </c>
    </row>
    <row r="265" spans="1:14" ht="15">
      <c r="A265" s="4" t="s">
        <v>410</v>
      </c>
      <c r="B265" s="4" t="s">
        <v>409</v>
      </c>
      <c r="C265" s="330" t="s">
        <v>816</v>
      </c>
      <c r="D265" s="331">
        <v>50</v>
      </c>
      <c r="E265" s="331">
        <v>0</v>
      </c>
      <c r="F265" s="331">
        <v>10</v>
      </c>
      <c r="G265" s="331">
        <v>50</v>
      </c>
      <c r="H265" s="331">
        <v>5</v>
      </c>
      <c r="I265" s="331"/>
      <c r="J265" s="165" t="s">
        <v>1105</v>
      </c>
      <c r="K265" s="165">
        <v>8.1206496500000007</v>
      </c>
      <c r="L265" s="165">
        <v>6</v>
      </c>
      <c r="M265" s="169">
        <v>25</v>
      </c>
      <c r="N265" s="169" t="s">
        <v>817</v>
      </c>
    </row>
    <row r="266" spans="1:14" ht="15">
      <c r="A266" s="4" t="s">
        <v>412</v>
      </c>
      <c r="B266" s="4" t="s">
        <v>750</v>
      </c>
      <c r="C266" s="330" t="s">
        <v>816</v>
      </c>
      <c r="D266" s="331">
        <v>15</v>
      </c>
      <c r="E266" s="331">
        <v>0.15</v>
      </c>
      <c r="F266" s="331">
        <v>4</v>
      </c>
      <c r="G266" s="331">
        <v>15</v>
      </c>
      <c r="H266" s="331">
        <v>0</v>
      </c>
      <c r="I266" s="331"/>
      <c r="J266" s="165" t="s">
        <v>1105</v>
      </c>
      <c r="K266" s="165">
        <v>17.5771637</v>
      </c>
      <c r="L266" s="165">
        <v>3</v>
      </c>
      <c r="M266" s="169">
        <v>50</v>
      </c>
      <c r="N266" s="169" t="s">
        <v>817</v>
      </c>
    </row>
    <row r="267" spans="1:14" ht="15">
      <c r="A267" s="4" t="s">
        <v>348</v>
      </c>
      <c r="B267" s="4" t="s">
        <v>740</v>
      </c>
      <c r="C267" s="330" t="s">
        <v>816</v>
      </c>
      <c r="D267" s="331">
        <v>20</v>
      </c>
      <c r="E267" s="331">
        <v>0.8</v>
      </c>
      <c r="F267" s="331">
        <v>0</v>
      </c>
      <c r="G267" s="331">
        <v>0</v>
      </c>
      <c r="H267" s="331">
        <v>0</v>
      </c>
      <c r="I267" s="331"/>
      <c r="J267" s="165" t="s">
        <v>1105</v>
      </c>
      <c r="K267" s="165">
        <v>18.1264501</v>
      </c>
      <c r="L267" s="165">
        <v>3.5779640700000002</v>
      </c>
      <c r="M267" s="169">
        <v>200</v>
      </c>
      <c r="N267" s="169" t="s">
        <v>817</v>
      </c>
    </row>
    <row r="268" spans="1:14" ht="15">
      <c r="A268" s="4" t="s">
        <v>223</v>
      </c>
      <c r="B268" s="4" t="s">
        <v>1841</v>
      </c>
      <c r="C268" s="330" t="s">
        <v>816</v>
      </c>
      <c r="D268" s="331">
        <v>13.26</v>
      </c>
      <c r="E268" s="331">
        <v>0.66</v>
      </c>
      <c r="F268" s="331">
        <v>9.86</v>
      </c>
      <c r="G268" s="331">
        <v>26.78</v>
      </c>
      <c r="H268" s="331">
        <v>0</v>
      </c>
      <c r="I268" s="331">
        <v>30</v>
      </c>
      <c r="J268" s="165" t="s">
        <v>807</v>
      </c>
      <c r="K268" s="165">
        <v>26.3322653</v>
      </c>
      <c r="L268" s="165">
        <v>5</v>
      </c>
      <c r="M268" s="169">
        <v>200</v>
      </c>
      <c r="N268" s="169" t="s">
        <v>817</v>
      </c>
    </row>
    <row r="269" spans="1:14" ht="15">
      <c r="A269" s="4" t="s">
        <v>414</v>
      </c>
      <c r="B269" s="4" t="s">
        <v>300</v>
      </c>
      <c r="C269" s="330" t="s">
        <v>814</v>
      </c>
      <c r="D269" s="331">
        <v>6.3</v>
      </c>
      <c r="E269" s="331">
        <v>1.89</v>
      </c>
      <c r="F269" s="331">
        <v>2.8</v>
      </c>
      <c r="G269" s="331">
        <v>6.3</v>
      </c>
      <c r="H269" s="331">
        <v>0.9</v>
      </c>
      <c r="I269" s="331"/>
      <c r="J269" s="165" t="s">
        <v>1105</v>
      </c>
      <c r="K269" s="165">
        <v>15.7138648</v>
      </c>
      <c r="L269" s="165">
        <v>3</v>
      </c>
      <c r="M269" s="169">
        <v>200</v>
      </c>
      <c r="N269" s="169" t="s">
        <v>818</v>
      </c>
    </row>
    <row r="270" spans="1:14" ht="15">
      <c r="A270" s="4" t="s">
        <v>416</v>
      </c>
      <c r="B270" s="4" t="s">
        <v>411</v>
      </c>
      <c r="C270" s="330" t="s">
        <v>816</v>
      </c>
      <c r="D270" s="331">
        <v>50</v>
      </c>
      <c r="E270" s="331">
        <v>0</v>
      </c>
      <c r="F270" s="331">
        <v>30</v>
      </c>
      <c r="G270" s="331">
        <v>70</v>
      </c>
      <c r="H270" s="331">
        <v>15</v>
      </c>
      <c r="I270" s="331"/>
      <c r="J270" s="165" t="s">
        <v>1105</v>
      </c>
      <c r="K270" s="165">
        <v>5.1044083499999999</v>
      </c>
      <c r="L270" s="165">
        <v>3</v>
      </c>
      <c r="M270" s="169">
        <v>20</v>
      </c>
      <c r="N270" s="169" t="s">
        <v>817</v>
      </c>
    </row>
    <row r="271" spans="1:14" ht="15">
      <c r="A271" s="4" t="s">
        <v>301</v>
      </c>
      <c r="B271" s="4" t="s">
        <v>413</v>
      </c>
      <c r="C271" s="330" t="s">
        <v>816</v>
      </c>
      <c r="D271" s="331">
        <v>60</v>
      </c>
      <c r="E271" s="331">
        <v>0</v>
      </c>
      <c r="F271" s="331">
        <v>30</v>
      </c>
      <c r="G271" s="331">
        <v>30</v>
      </c>
      <c r="H271" s="331">
        <v>60</v>
      </c>
      <c r="I271" s="331"/>
      <c r="J271" s="165" t="s">
        <v>1105</v>
      </c>
      <c r="K271" s="165">
        <v>3.4802784199999999</v>
      </c>
      <c r="L271" s="165">
        <v>2</v>
      </c>
      <c r="M271" s="169">
        <v>10</v>
      </c>
      <c r="N271" s="169" t="s">
        <v>817</v>
      </c>
    </row>
    <row r="272" spans="1:14" ht="15">
      <c r="A272" s="4" t="s">
        <v>225</v>
      </c>
      <c r="B272" s="4" t="s">
        <v>349</v>
      </c>
      <c r="C272" s="330" t="s">
        <v>816</v>
      </c>
      <c r="D272" s="331">
        <v>140</v>
      </c>
      <c r="E272" s="331">
        <v>0</v>
      </c>
      <c r="F272" s="331">
        <v>0</v>
      </c>
      <c r="G272" s="331">
        <v>0</v>
      </c>
      <c r="H272" s="331">
        <v>0</v>
      </c>
      <c r="I272" s="331">
        <v>70</v>
      </c>
      <c r="J272" s="165" t="s">
        <v>1105</v>
      </c>
      <c r="K272" s="165">
        <v>3.7288697399999999</v>
      </c>
      <c r="L272" s="165">
        <v>2</v>
      </c>
      <c r="M272" s="169">
        <v>10</v>
      </c>
      <c r="N272" s="169" t="s">
        <v>817</v>
      </c>
    </row>
    <row r="273" spans="1:14" ht="15">
      <c r="A273" s="4" t="s">
        <v>418</v>
      </c>
      <c r="B273" s="4" t="s">
        <v>224</v>
      </c>
      <c r="C273" s="330" t="s">
        <v>816</v>
      </c>
      <c r="D273" s="331">
        <v>20</v>
      </c>
      <c r="E273" s="331">
        <v>1</v>
      </c>
      <c r="F273" s="331">
        <v>20</v>
      </c>
      <c r="G273" s="331">
        <v>20</v>
      </c>
      <c r="H273" s="331">
        <v>0</v>
      </c>
      <c r="I273" s="331"/>
      <c r="J273" s="165" t="s">
        <v>1105</v>
      </c>
      <c r="K273" s="165">
        <v>19.843692799999999</v>
      </c>
      <c r="L273" s="165">
        <v>5</v>
      </c>
      <c r="M273" s="169">
        <v>200</v>
      </c>
      <c r="N273" s="169" t="s">
        <v>817</v>
      </c>
    </row>
    <row r="274" spans="1:14" ht="15">
      <c r="A274" s="4" t="s">
        <v>480</v>
      </c>
      <c r="B274" s="4" t="s">
        <v>415</v>
      </c>
      <c r="C274" s="330" t="s">
        <v>816</v>
      </c>
      <c r="D274" s="331">
        <v>90</v>
      </c>
      <c r="E274" s="331">
        <v>0</v>
      </c>
      <c r="F274" s="331">
        <v>20</v>
      </c>
      <c r="G274" s="331">
        <v>20</v>
      </c>
      <c r="H274" s="331">
        <v>0</v>
      </c>
      <c r="I274" s="331"/>
      <c r="J274" s="165" t="s">
        <v>1105</v>
      </c>
      <c r="K274" s="165">
        <v>4.5114720300000002</v>
      </c>
      <c r="L274" s="165">
        <v>3</v>
      </c>
      <c r="M274" s="169">
        <v>20</v>
      </c>
      <c r="N274" s="169" t="s">
        <v>817</v>
      </c>
    </row>
    <row r="275" spans="1:14" ht="15">
      <c r="A275" s="4" t="s">
        <v>227</v>
      </c>
      <c r="B275" s="4" t="s">
        <v>417</v>
      </c>
      <c r="C275" s="330" t="s">
        <v>816</v>
      </c>
      <c r="D275" s="331">
        <v>60</v>
      </c>
      <c r="E275" s="331">
        <v>0</v>
      </c>
      <c r="F275" s="331">
        <v>30</v>
      </c>
      <c r="G275" s="331">
        <v>50</v>
      </c>
      <c r="H275" s="331">
        <v>15</v>
      </c>
      <c r="I275" s="331"/>
      <c r="J275" s="165" t="s">
        <v>1105</v>
      </c>
      <c r="K275" s="165">
        <v>4.8337200300000003</v>
      </c>
      <c r="L275" s="165">
        <v>2</v>
      </c>
      <c r="M275" s="169">
        <v>10</v>
      </c>
      <c r="N275" s="169" t="s">
        <v>817</v>
      </c>
    </row>
    <row r="276" spans="1:14" ht="15">
      <c r="A276" s="4" t="s">
        <v>484</v>
      </c>
      <c r="B276" s="4" t="s">
        <v>302</v>
      </c>
      <c r="C276" s="330" t="s">
        <v>816</v>
      </c>
      <c r="D276" s="331">
        <v>30</v>
      </c>
      <c r="E276" s="331">
        <v>3</v>
      </c>
      <c r="F276" s="331">
        <v>20</v>
      </c>
      <c r="G276" s="331">
        <v>50</v>
      </c>
      <c r="H276" s="331">
        <v>0</v>
      </c>
      <c r="I276" s="331"/>
      <c r="J276" s="165" t="s">
        <v>1105</v>
      </c>
      <c r="K276" s="165">
        <v>5.8004640399999996</v>
      </c>
      <c r="L276" s="165">
        <v>1.5</v>
      </c>
      <c r="M276" s="169">
        <v>25</v>
      </c>
      <c r="N276" s="169" t="s">
        <v>817</v>
      </c>
    </row>
    <row r="277" spans="1:14" ht="15">
      <c r="A277" s="4" t="s">
        <v>74</v>
      </c>
      <c r="B277" s="4" t="s">
        <v>226</v>
      </c>
      <c r="C277" s="330" t="s">
        <v>816</v>
      </c>
      <c r="D277" s="331">
        <v>30</v>
      </c>
      <c r="E277" s="331">
        <v>0</v>
      </c>
      <c r="F277" s="331">
        <v>18</v>
      </c>
      <c r="G277" s="331">
        <v>6</v>
      </c>
      <c r="H277" s="331">
        <v>0</v>
      </c>
      <c r="I277" s="331"/>
      <c r="J277" s="165" t="s">
        <v>1105</v>
      </c>
      <c r="K277" s="165">
        <v>7</v>
      </c>
      <c r="L277" s="165">
        <v>5</v>
      </c>
      <c r="M277" s="169">
        <v>50</v>
      </c>
      <c r="N277" s="169" t="s">
        <v>817</v>
      </c>
    </row>
    <row r="278" spans="1:14" ht="15">
      <c r="A278" s="4" t="s">
        <v>229</v>
      </c>
      <c r="B278" s="4" t="s">
        <v>419</v>
      </c>
      <c r="C278" s="330" t="s">
        <v>814</v>
      </c>
      <c r="D278" s="331">
        <v>14.5</v>
      </c>
      <c r="E278" s="331">
        <v>0</v>
      </c>
      <c r="F278" s="331">
        <v>4.2</v>
      </c>
      <c r="G278" s="331">
        <v>2.2999999999999998</v>
      </c>
      <c r="H278" s="331">
        <v>0</v>
      </c>
      <c r="I278" s="331"/>
      <c r="J278" s="165" t="s">
        <v>1105</v>
      </c>
      <c r="K278" s="165">
        <v>5.4004320300000002</v>
      </c>
      <c r="L278" s="165">
        <v>2</v>
      </c>
      <c r="M278" s="169">
        <v>15</v>
      </c>
      <c r="N278" s="169" t="s">
        <v>818</v>
      </c>
    </row>
    <row r="279" spans="1:14" ht="15">
      <c r="A279" s="4" t="s">
        <v>719</v>
      </c>
      <c r="B279" s="4" t="s">
        <v>481</v>
      </c>
      <c r="C279" s="330" t="s">
        <v>814</v>
      </c>
      <c r="D279" s="331">
        <v>82</v>
      </c>
      <c r="E279" s="331">
        <v>8.1999999999999993</v>
      </c>
      <c r="F279" s="331">
        <v>30</v>
      </c>
      <c r="G279" s="331">
        <v>32</v>
      </c>
      <c r="H279" s="331">
        <v>14</v>
      </c>
      <c r="I279" s="331"/>
      <c r="J279" s="165" t="s">
        <v>1105</v>
      </c>
      <c r="K279" s="165">
        <v>6.0975609799999999</v>
      </c>
      <c r="L279" s="165">
        <v>1.5</v>
      </c>
      <c r="M279" s="169">
        <v>25</v>
      </c>
      <c r="N279" s="169" t="s">
        <v>817</v>
      </c>
    </row>
    <row r="280" spans="1:14" ht="15">
      <c r="A280" s="4" t="s">
        <v>135</v>
      </c>
      <c r="B280" s="4" t="s">
        <v>228</v>
      </c>
      <c r="C280" s="330" t="s">
        <v>816</v>
      </c>
      <c r="D280" s="331">
        <v>60</v>
      </c>
      <c r="E280" s="331">
        <v>0</v>
      </c>
      <c r="F280" s="331">
        <v>30</v>
      </c>
      <c r="G280" s="331">
        <v>50</v>
      </c>
      <c r="H280" s="331">
        <v>1.7</v>
      </c>
      <c r="I280" s="331"/>
      <c r="J280" s="165" t="s">
        <v>1105</v>
      </c>
      <c r="K280" s="165">
        <v>7.2505800499999999</v>
      </c>
      <c r="L280" s="165">
        <v>3</v>
      </c>
      <c r="M280" s="169">
        <v>10</v>
      </c>
      <c r="N280" s="169" t="s">
        <v>817</v>
      </c>
    </row>
    <row r="281" spans="1:14" ht="15">
      <c r="A281" s="4" t="s">
        <v>303</v>
      </c>
      <c r="B281" s="4" t="s">
        <v>485</v>
      </c>
      <c r="C281" s="330" t="s">
        <v>816</v>
      </c>
      <c r="D281" s="331">
        <v>12</v>
      </c>
      <c r="E281" s="331">
        <v>0</v>
      </c>
      <c r="F281" s="331">
        <v>4</v>
      </c>
      <c r="G281" s="331">
        <v>6</v>
      </c>
      <c r="H281" s="331">
        <v>0</v>
      </c>
      <c r="I281" s="331"/>
      <c r="J281" s="165" t="s">
        <v>1105</v>
      </c>
      <c r="K281" s="165">
        <v>12.0843001</v>
      </c>
      <c r="L281" s="165">
        <v>6</v>
      </c>
      <c r="M281" s="169">
        <v>200</v>
      </c>
      <c r="N281" s="169" t="s">
        <v>817</v>
      </c>
    </row>
    <row r="282" spans="1:14" ht="15">
      <c r="A282" s="4" t="s">
        <v>304</v>
      </c>
      <c r="B282" s="4" t="s">
        <v>1842</v>
      </c>
      <c r="C282" s="330" t="s">
        <v>816</v>
      </c>
      <c r="D282" s="331">
        <v>66.97</v>
      </c>
      <c r="E282" s="331">
        <v>0</v>
      </c>
      <c r="F282" s="331">
        <v>13.11</v>
      </c>
      <c r="G282" s="331">
        <v>22.37</v>
      </c>
      <c r="H282" s="331">
        <v>4.2300000000000004</v>
      </c>
      <c r="I282" s="331">
        <v>30</v>
      </c>
      <c r="J282" s="165" t="s">
        <v>1105</v>
      </c>
      <c r="K282" s="165">
        <v>5.2429369799999996</v>
      </c>
      <c r="L282" s="165">
        <v>3</v>
      </c>
      <c r="M282" s="169">
        <v>50</v>
      </c>
      <c r="N282" s="169" t="s">
        <v>817</v>
      </c>
    </row>
    <row r="283" spans="1:14" ht="15">
      <c r="A283" s="4" t="s">
        <v>305</v>
      </c>
      <c r="B283" s="4" t="s">
        <v>230</v>
      </c>
      <c r="C283" s="330" t="s">
        <v>816</v>
      </c>
      <c r="D283" s="331">
        <v>110</v>
      </c>
      <c r="E283" s="331">
        <v>11</v>
      </c>
      <c r="F283" s="331">
        <v>0</v>
      </c>
      <c r="G283" s="331">
        <v>50</v>
      </c>
      <c r="H283" s="331">
        <v>0</v>
      </c>
      <c r="I283" s="331"/>
      <c r="J283" s="165" t="s">
        <v>1105</v>
      </c>
      <c r="K283" s="165">
        <v>1.6405352799999999</v>
      </c>
      <c r="L283" s="165">
        <v>1.5</v>
      </c>
      <c r="M283" s="169">
        <v>25</v>
      </c>
      <c r="N283" s="169" t="s">
        <v>817</v>
      </c>
    </row>
    <row r="284" spans="1:14" ht="15">
      <c r="A284" s="4" t="s">
        <v>306</v>
      </c>
      <c r="B284" s="4" t="s">
        <v>720</v>
      </c>
      <c r="C284" s="330" t="s">
        <v>816</v>
      </c>
      <c r="D284" s="331">
        <v>6.94</v>
      </c>
      <c r="E284" s="331">
        <v>4.51</v>
      </c>
      <c r="F284" s="331">
        <v>4.4400000000000004</v>
      </c>
      <c r="G284" s="331">
        <v>5.65</v>
      </c>
      <c r="H284" s="331">
        <v>2.13</v>
      </c>
      <c r="I284" s="331"/>
      <c r="J284" s="165" t="s">
        <v>1105</v>
      </c>
      <c r="K284" s="165">
        <v>41.603410599999997</v>
      </c>
      <c r="L284" s="165">
        <v>3</v>
      </c>
      <c r="M284" s="169">
        <v>200</v>
      </c>
      <c r="N284" s="169" t="s">
        <v>817</v>
      </c>
    </row>
    <row r="285" spans="1:14" ht="15">
      <c r="A285" s="4" t="s">
        <v>360</v>
      </c>
      <c r="B285" s="4" t="s">
        <v>1843</v>
      </c>
      <c r="C285" s="330" t="s">
        <v>816</v>
      </c>
      <c r="D285" s="331">
        <v>30</v>
      </c>
      <c r="E285" s="331">
        <v>3</v>
      </c>
      <c r="F285" s="331">
        <v>20</v>
      </c>
      <c r="G285" s="331">
        <v>80</v>
      </c>
      <c r="H285" s="331">
        <v>0</v>
      </c>
      <c r="I285" s="331"/>
      <c r="J285" s="165" t="s">
        <v>1105</v>
      </c>
      <c r="K285" s="165">
        <v>5</v>
      </c>
      <c r="L285" s="165">
        <v>1.5</v>
      </c>
      <c r="M285" s="169">
        <v>25</v>
      </c>
      <c r="N285" s="169" t="s">
        <v>817</v>
      </c>
    </row>
    <row r="286" spans="1:14" ht="15">
      <c r="A286" s="4" t="s">
        <v>231</v>
      </c>
      <c r="B286" s="4" t="s">
        <v>1844</v>
      </c>
      <c r="C286" s="330" t="s">
        <v>816</v>
      </c>
      <c r="D286" s="331">
        <v>40</v>
      </c>
      <c r="E286" s="331">
        <v>4</v>
      </c>
      <c r="F286" s="331">
        <v>20</v>
      </c>
      <c r="G286" s="331">
        <v>80</v>
      </c>
      <c r="H286" s="331">
        <v>0</v>
      </c>
      <c r="I286" s="331"/>
      <c r="J286" s="165" t="s">
        <v>1105</v>
      </c>
      <c r="K286" s="165">
        <v>5</v>
      </c>
      <c r="L286" s="165">
        <v>1.5</v>
      </c>
      <c r="M286" s="169">
        <v>25</v>
      </c>
      <c r="N286" s="169" t="s">
        <v>817</v>
      </c>
    </row>
    <row r="287" spans="1:14" ht="15">
      <c r="A287" s="4" t="s">
        <v>232</v>
      </c>
      <c r="B287" s="4" t="s">
        <v>1845</v>
      </c>
      <c r="C287" s="330" t="s">
        <v>816</v>
      </c>
      <c r="D287" s="331">
        <v>70</v>
      </c>
      <c r="E287" s="331">
        <v>7</v>
      </c>
      <c r="F287" s="331">
        <v>20</v>
      </c>
      <c r="G287" s="331">
        <v>30</v>
      </c>
      <c r="H287" s="331">
        <v>0</v>
      </c>
      <c r="I287" s="331"/>
      <c r="J287" s="165" t="s">
        <v>1105</v>
      </c>
      <c r="K287" s="165">
        <v>5</v>
      </c>
      <c r="L287" s="165">
        <v>1.5</v>
      </c>
      <c r="M287" s="169">
        <v>25</v>
      </c>
      <c r="N287" s="169" t="s">
        <v>817</v>
      </c>
    </row>
    <row r="288" spans="1:14" ht="15">
      <c r="A288" s="4" t="s">
        <v>233</v>
      </c>
      <c r="B288" s="4" t="s">
        <v>1846</v>
      </c>
      <c r="C288" s="330" t="s">
        <v>816</v>
      </c>
      <c r="D288" s="331">
        <v>80</v>
      </c>
      <c r="E288" s="331">
        <v>8</v>
      </c>
      <c r="F288" s="331">
        <v>30</v>
      </c>
      <c r="G288" s="331">
        <v>30</v>
      </c>
      <c r="H288" s="331">
        <v>0</v>
      </c>
      <c r="I288" s="331"/>
      <c r="J288" s="165" t="s">
        <v>1105</v>
      </c>
      <c r="K288" s="165">
        <v>5</v>
      </c>
      <c r="L288" s="165">
        <v>1.5</v>
      </c>
      <c r="M288" s="169">
        <v>25</v>
      </c>
      <c r="N288" s="169" t="s">
        <v>817</v>
      </c>
    </row>
    <row r="289" spans="1:14" ht="15">
      <c r="A289" s="4" t="s">
        <v>235</v>
      </c>
      <c r="B289" s="4" t="s">
        <v>1847</v>
      </c>
      <c r="C289" s="330" t="s">
        <v>816</v>
      </c>
      <c r="D289" s="331">
        <v>90</v>
      </c>
      <c r="E289" s="331">
        <v>9</v>
      </c>
      <c r="F289" s="331">
        <v>20</v>
      </c>
      <c r="G289" s="331">
        <v>20</v>
      </c>
      <c r="H289" s="331">
        <v>0</v>
      </c>
      <c r="I289" s="331"/>
      <c r="J289" s="165" t="s">
        <v>1105</v>
      </c>
      <c r="K289" s="165">
        <v>5</v>
      </c>
      <c r="L289" s="165">
        <v>1.5</v>
      </c>
      <c r="M289" s="169">
        <v>25</v>
      </c>
      <c r="N289" s="169" t="s">
        <v>817</v>
      </c>
    </row>
    <row r="290" spans="1:14" ht="15">
      <c r="A290" s="4" t="s">
        <v>237</v>
      </c>
      <c r="B290" s="4" t="s">
        <v>1848</v>
      </c>
      <c r="C290" s="330" t="s">
        <v>816</v>
      </c>
      <c r="D290" s="331">
        <v>30</v>
      </c>
      <c r="E290" s="331">
        <v>3</v>
      </c>
      <c r="F290" s="331">
        <v>20</v>
      </c>
      <c r="G290" s="331">
        <v>80</v>
      </c>
      <c r="H290" s="331">
        <v>0</v>
      </c>
      <c r="I290" s="331"/>
      <c r="J290" s="165" t="s">
        <v>1105</v>
      </c>
      <c r="K290" s="165">
        <v>7.7777777800000001</v>
      </c>
      <c r="L290" s="165">
        <v>1.5</v>
      </c>
      <c r="M290" s="169">
        <v>25</v>
      </c>
      <c r="N290" s="169" t="s">
        <v>817</v>
      </c>
    </row>
    <row r="291" spans="1:14" ht="15">
      <c r="A291" s="4" t="s">
        <v>239</v>
      </c>
      <c r="B291" s="4" t="s">
        <v>1849</v>
      </c>
      <c r="C291" s="330" t="s">
        <v>814</v>
      </c>
      <c r="D291" s="331">
        <v>27</v>
      </c>
      <c r="E291" s="331">
        <v>2.7</v>
      </c>
      <c r="F291" s="331">
        <v>12</v>
      </c>
      <c r="G291" s="331">
        <v>75</v>
      </c>
      <c r="H291" s="331">
        <v>6</v>
      </c>
      <c r="I291" s="331"/>
      <c r="J291" s="165" t="s">
        <v>1105</v>
      </c>
      <c r="K291" s="165">
        <v>9.5480889500000004</v>
      </c>
      <c r="L291" s="165">
        <v>3</v>
      </c>
      <c r="M291" s="169">
        <v>25</v>
      </c>
      <c r="N291" s="169" t="s">
        <v>818</v>
      </c>
    </row>
    <row r="292" spans="1:14" ht="15">
      <c r="A292" s="4" t="s">
        <v>241</v>
      </c>
      <c r="B292" s="4" t="s">
        <v>1850</v>
      </c>
      <c r="C292" s="330" t="s">
        <v>814</v>
      </c>
      <c r="D292" s="331">
        <v>5.4</v>
      </c>
      <c r="E292" s="331">
        <v>0.27</v>
      </c>
      <c r="F292" s="331">
        <v>18.600000000000001</v>
      </c>
      <c r="G292" s="331">
        <v>44.6</v>
      </c>
      <c r="H292" s="331">
        <v>0</v>
      </c>
      <c r="I292" s="331"/>
      <c r="J292" s="165" t="s">
        <v>1105</v>
      </c>
      <c r="K292" s="165">
        <v>13.2291285</v>
      </c>
      <c r="L292" s="165">
        <v>2.5</v>
      </c>
      <c r="M292" s="169">
        <v>25</v>
      </c>
      <c r="N292" s="169" t="s">
        <v>818</v>
      </c>
    </row>
    <row r="293" spans="1:14" ht="15">
      <c r="A293" s="4" t="s">
        <v>243</v>
      </c>
      <c r="B293" s="4" t="s">
        <v>234</v>
      </c>
      <c r="C293" s="330" t="s">
        <v>816</v>
      </c>
      <c r="D293" s="331">
        <v>60</v>
      </c>
      <c r="E293" s="331">
        <v>1.5</v>
      </c>
      <c r="F293" s="331">
        <v>10</v>
      </c>
      <c r="G293" s="331">
        <v>60</v>
      </c>
      <c r="H293" s="331">
        <v>0</v>
      </c>
      <c r="I293" s="331"/>
      <c r="J293" s="165" t="s">
        <v>1105</v>
      </c>
      <c r="K293" s="165">
        <v>4.8585083400000002</v>
      </c>
      <c r="L293" s="165">
        <v>3</v>
      </c>
      <c r="M293" s="169">
        <v>25</v>
      </c>
      <c r="N293" s="169" t="s">
        <v>817</v>
      </c>
    </row>
    <row r="294" spans="1:14" ht="15">
      <c r="A294" s="4" t="s">
        <v>420</v>
      </c>
      <c r="B294" s="4" t="s">
        <v>236</v>
      </c>
      <c r="C294" s="330" t="s">
        <v>816</v>
      </c>
      <c r="D294" s="331">
        <v>60</v>
      </c>
      <c r="E294" s="331">
        <v>6</v>
      </c>
      <c r="F294" s="331">
        <v>30</v>
      </c>
      <c r="G294" s="331">
        <v>60</v>
      </c>
      <c r="H294" s="331">
        <v>0</v>
      </c>
      <c r="I294" s="331"/>
      <c r="J294" s="165" t="s">
        <v>1105</v>
      </c>
      <c r="K294" s="165">
        <v>6.9820400400000002</v>
      </c>
      <c r="L294" s="165">
        <v>1.5</v>
      </c>
      <c r="M294" s="169">
        <v>25</v>
      </c>
      <c r="N294" s="169" t="s">
        <v>817</v>
      </c>
    </row>
    <row r="295" spans="1:14" ht="15">
      <c r="A295" s="4" t="s">
        <v>486</v>
      </c>
      <c r="B295" s="4" t="s">
        <v>238</v>
      </c>
      <c r="C295" s="330" t="s">
        <v>816</v>
      </c>
      <c r="D295" s="331">
        <v>80</v>
      </c>
      <c r="E295" s="331">
        <v>0</v>
      </c>
      <c r="F295" s="331">
        <v>20</v>
      </c>
      <c r="G295" s="331">
        <v>60</v>
      </c>
      <c r="H295" s="331">
        <v>0</v>
      </c>
      <c r="I295" s="331"/>
      <c r="J295" s="165" t="s">
        <v>1105</v>
      </c>
      <c r="K295" s="165">
        <v>4.7853828299999996</v>
      </c>
      <c r="L295" s="165">
        <v>2</v>
      </c>
      <c r="M295" s="169">
        <v>15</v>
      </c>
      <c r="N295" s="169" t="s">
        <v>817</v>
      </c>
    </row>
    <row r="296" spans="1:14" ht="15">
      <c r="A296" s="4" t="s">
        <v>245</v>
      </c>
      <c r="B296" s="4" t="s">
        <v>240</v>
      </c>
      <c r="C296" s="330" t="s">
        <v>816</v>
      </c>
      <c r="D296" s="331">
        <v>60</v>
      </c>
      <c r="E296" s="331">
        <v>0</v>
      </c>
      <c r="F296" s="331">
        <v>10</v>
      </c>
      <c r="G296" s="331">
        <v>70</v>
      </c>
      <c r="H296" s="331">
        <v>0</v>
      </c>
      <c r="I296" s="331"/>
      <c r="J296" s="165" t="s">
        <v>1105</v>
      </c>
      <c r="K296" s="165">
        <v>6.57385924</v>
      </c>
      <c r="L296" s="165">
        <v>2</v>
      </c>
      <c r="M296" s="169">
        <v>15</v>
      </c>
      <c r="N296" s="169" t="s">
        <v>817</v>
      </c>
    </row>
    <row r="297" spans="1:14" ht="15">
      <c r="A297" s="4" t="s">
        <v>422</v>
      </c>
      <c r="B297" s="4" t="s">
        <v>242</v>
      </c>
      <c r="C297" s="330" t="s">
        <v>816</v>
      </c>
      <c r="D297" s="331">
        <v>50</v>
      </c>
      <c r="E297" s="331">
        <v>5</v>
      </c>
      <c r="F297" s="331">
        <v>35</v>
      </c>
      <c r="G297" s="331">
        <v>80</v>
      </c>
      <c r="H297" s="331">
        <v>10</v>
      </c>
      <c r="I297" s="331"/>
      <c r="J297" s="165" t="s">
        <v>1105</v>
      </c>
      <c r="K297" s="165">
        <v>8.1206496500000007</v>
      </c>
      <c r="L297" s="165">
        <v>1.5</v>
      </c>
      <c r="M297" s="169">
        <v>25</v>
      </c>
      <c r="N297" s="169" t="s">
        <v>817</v>
      </c>
    </row>
    <row r="298" spans="1:14" ht="15">
      <c r="A298" s="4" t="s">
        <v>424</v>
      </c>
      <c r="B298" s="4" t="s">
        <v>244</v>
      </c>
      <c r="C298" s="330" t="s">
        <v>816</v>
      </c>
      <c r="D298" s="331">
        <v>60</v>
      </c>
      <c r="E298" s="331">
        <v>0</v>
      </c>
      <c r="F298" s="331">
        <v>90</v>
      </c>
      <c r="G298" s="331">
        <v>5</v>
      </c>
      <c r="H298" s="331">
        <v>5</v>
      </c>
      <c r="I298" s="331"/>
      <c r="J298" s="165" t="s">
        <v>1105</v>
      </c>
      <c r="K298" s="165">
        <v>6.2838360399999997</v>
      </c>
      <c r="L298" s="165">
        <v>2</v>
      </c>
      <c r="M298" s="169">
        <v>15</v>
      </c>
      <c r="N298" s="169" t="s">
        <v>817</v>
      </c>
    </row>
    <row r="299" spans="1:14" ht="15">
      <c r="A299" s="4" t="s">
        <v>426</v>
      </c>
      <c r="B299" s="4" t="s">
        <v>421</v>
      </c>
      <c r="C299" s="330" t="s">
        <v>816</v>
      </c>
      <c r="D299" s="331">
        <v>70</v>
      </c>
      <c r="E299" s="331">
        <v>0</v>
      </c>
      <c r="F299" s="331">
        <v>40</v>
      </c>
      <c r="G299" s="331">
        <v>5</v>
      </c>
      <c r="H299" s="331">
        <v>4</v>
      </c>
      <c r="I299" s="331"/>
      <c r="J299" s="165" t="s">
        <v>1105</v>
      </c>
      <c r="K299" s="165">
        <v>6.2147829000000003</v>
      </c>
      <c r="L299" s="165">
        <v>3</v>
      </c>
      <c r="M299" s="169">
        <v>20</v>
      </c>
      <c r="N299" s="169" t="s">
        <v>817</v>
      </c>
    </row>
    <row r="300" spans="1:14" ht="15">
      <c r="A300" s="4" t="s">
        <v>428</v>
      </c>
      <c r="B300" s="4" t="s">
        <v>487</v>
      </c>
      <c r="C300" s="330" t="s">
        <v>816</v>
      </c>
      <c r="D300" s="331">
        <v>30</v>
      </c>
      <c r="E300" s="331">
        <v>0</v>
      </c>
      <c r="F300" s="331">
        <v>20</v>
      </c>
      <c r="G300" s="331">
        <v>0</v>
      </c>
      <c r="H300" s="331">
        <v>20</v>
      </c>
      <c r="I300" s="331"/>
      <c r="J300" s="165" t="s">
        <v>1105</v>
      </c>
      <c r="K300" s="165">
        <v>6.7672080399999999</v>
      </c>
      <c r="L300" s="165">
        <v>2</v>
      </c>
      <c r="M300" s="169">
        <v>15</v>
      </c>
      <c r="N300" s="169" t="s">
        <v>817</v>
      </c>
    </row>
    <row r="301" spans="1:14" ht="15">
      <c r="A301" s="4" t="s">
        <v>751</v>
      </c>
      <c r="B301" s="4" t="s">
        <v>246</v>
      </c>
      <c r="C301" s="330" t="s">
        <v>816</v>
      </c>
      <c r="D301" s="331">
        <v>60</v>
      </c>
      <c r="E301" s="331">
        <v>0</v>
      </c>
      <c r="F301" s="331">
        <v>60</v>
      </c>
      <c r="G301" s="331">
        <v>5</v>
      </c>
      <c r="H301" s="331">
        <v>4</v>
      </c>
      <c r="I301" s="331"/>
      <c r="J301" s="165" t="s">
        <v>1105</v>
      </c>
      <c r="K301" s="165">
        <v>6.7672080399999999</v>
      </c>
      <c r="L301" s="165">
        <v>2</v>
      </c>
      <c r="M301" s="169">
        <v>15</v>
      </c>
      <c r="N301" s="169" t="s">
        <v>817</v>
      </c>
    </row>
    <row r="302" spans="1:14" ht="15">
      <c r="A302" s="4" t="s">
        <v>570</v>
      </c>
      <c r="B302" s="4" t="s">
        <v>423</v>
      </c>
      <c r="C302" s="330" t="s">
        <v>816</v>
      </c>
      <c r="D302" s="331">
        <v>10</v>
      </c>
      <c r="E302" s="331">
        <v>0.3</v>
      </c>
      <c r="F302" s="331">
        <v>3</v>
      </c>
      <c r="G302" s="331">
        <v>7</v>
      </c>
      <c r="H302" s="331">
        <v>0</v>
      </c>
      <c r="I302" s="331"/>
      <c r="J302" s="165" t="s">
        <v>1105</v>
      </c>
      <c r="K302" s="165">
        <v>16.145621500000001</v>
      </c>
      <c r="L302" s="165">
        <v>3.0285524800000001</v>
      </c>
      <c r="M302" s="167">
        <v>250</v>
      </c>
      <c r="N302" s="166" t="s">
        <v>817</v>
      </c>
    </row>
    <row r="303" spans="1:14" ht="15">
      <c r="A303" s="4" t="s">
        <v>707</v>
      </c>
      <c r="B303" s="4" t="s">
        <v>425</v>
      </c>
      <c r="C303" s="330" t="s">
        <v>816</v>
      </c>
      <c r="D303" s="331">
        <v>70</v>
      </c>
      <c r="E303" s="331">
        <v>0</v>
      </c>
      <c r="F303" s="331">
        <v>30</v>
      </c>
      <c r="G303" s="331">
        <v>40</v>
      </c>
      <c r="H303" s="331">
        <v>0</v>
      </c>
      <c r="I303" s="331"/>
      <c r="J303" s="165" t="s">
        <v>1105</v>
      </c>
      <c r="K303" s="165">
        <v>4.5575074600000001</v>
      </c>
      <c r="L303" s="165">
        <v>2</v>
      </c>
      <c r="M303" s="167">
        <v>15</v>
      </c>
      <c r="N303" s="166" t="s">
        <v>817</v>
      </c>
    </row>
    <row r="304" spans="1:14" ht="15">
      <c r="A304" s="4" t="s">
        <v>654</v>
      </c>
      <c r="B304" s="4" t="s">
        <v>427</v>
      </c>
      <c r="C304" s="330" t="s">
        <v>816</v>
      </c>
      <c r="D304" s="331">
        <v>5</v>
      </c>
      <c r="E304" s="331">
        <v>0.15</v>
      </c>
      <c r="F304" s="331">
        <v>3</v>
      </c>
      <c r="G304" s="331">
        <v>12</v>
      </c>
      <c r="H304" s="331">
        <v>0</v>
      </c>
      <c r="I304" s="331"/>
      <c r="J304" s="165" t="s">
        <v>1105</v>
      </c>
      <c r="K304" s="165">
        <v>45.4469347</v>
      </c>
      <c r="L304" s="165">
        <v>3.0285524800000001</v>
      </c>
      <c r="M304" s="167">
        <v>250</v>
      </c>
      <c r="N304" s="166" t="s">
        <v>817</v>
      </c>
    </row>
    <row r="305" spans="1:14" ht="15">
      <c r="A305" s="4" t="s">
        <v>655</v>
      </c>
      <c r="B305" s="4" t="s">
        <v>429</v>
      </c>
      <c r="C305" s="330" t="s">
        <v>816</v>
      </c>
      <c r="D305" s="331">
        <v>10</v>
      </c>
      <c r="E305" s="331">
        <v>0.3</v>
      </c>
      <c r="F305" s="331">
        <v>5</v>
      </c>
      <c r="G305" s="331">
        <v>10</v>
      </c>
      <c r="H305" s="331">
        <v>0</v>
      </c>
      <c r="I305" s="331"/>
      <c r="J305" s="165" t="s">
        <v>1105</v>
      </c>
      <c r="K305" s="165">
        <v>13.0360944</v>
      </c>
      <c r="L305" s="165">
        <v>3.0285524800000001</v>
      </c>
      <c r="M305" s="167">
        <v>250</v>
      </c>
      <c r="N305" s="166" t="s">
        <v>817</v>
      </c>
    </row>
    <row r="306" spans="1:14" ht="15">
      <c r="A306" s="4" t="s">
        <v>523</v>
      </c>
      <c r="B306" s="4" t="s">
        <v>752</v>
      </c>
      <c r="C306" s="330" t="s">
        <v>816</v>
      </c>
      <c r="D306" s="331">
        <v>10</v>
      </c>
      <c r="E306" s="331">
        <v>0.55000000000000004</v>
      </c>
      <c r="F306" s="331">
        <v>1</v>
      </c>
      <c r="G306" s="331">
        <v>2</v>
      </c>
      <c r="H306" s="331">
        <v>1</v>
      </c>
      <c r="I306" s="331"/>
      <c r="J306" s="165" t="s">
        <v>1105</v>
      </c>
      <c r="K306" s="165">
        <v>30.690285899999999</v>
      </c>
      <c r="L306" s="165">
        <v>6</v>
      </c>
      <c r="M306" s="167">
        <v>200</v>
      </c>
      <c r="N306" s="166" t="s">
        <v>817</v>
      </c>
    </row>
    <row r="307" spans="1:14" ht="15">
      <c r="A307" s="4" t="s">
        <v>617</v>
      </c>
      <c r="B307" s="4" t="s">
        <v>1851</v>
      </c>
      <c r="C307" s="330" t="s">
        <v>816</v>
      </c>
      <c r="D307" s="331">
        <v>5</v>
      </c>
      <c r="E307" s="331">
        <v>0.5</v>
      </c>
      <c r="F307" s="331">
        <v>3.8</v>
      </c>
      <c r="G307" s="331">
        <v>12.6</v>
      </c>
      <c r="H307" s="331">
        <v>0</v>
      </c>
      <c r="I307" s="331">
        <v>25</v>
      </c>
      <c r="J307" s="165" t="s">
        <v>809</v>
      </c>
      <c r="K307" s="165">
        <v>27.777777799999999</v>
      </c>
      <c r="L307" s="165">
        <v>5</v>
      </c>
      <c r="M307" s="167">
        <v>200</v>
      </c>
      <c r="N307" s="166" t="s">
        <v>817</v>
      </c>
    </row>
    <row r="308" spans="1:14" ht="15">
      <c r="A308" s="4" t="s">
        <v>430</v>
      </c>
      <c r="B308" s="4" t="s">
        <v>1852</v>
      </c>
      <c r="C308" s="330" t="s">
        <v>816</v>
      </c>
      <c r="D308" s="331">
        <v>6.5</v>
      </c>
      <c r="E308" s="331">
        <v>0.5</v>
      </c>
      <c r="F308" s="331">
        <v>3</v>
      </c>
      <c r="G308" s="331">
        <v>6</v>
      </c>
      <c r="H308" s="331">
        <v>1</v>
      </c>
      <c r="I308" s="331">
        <v>25</v>
      </c>
      <c r="J308" s="165" t="s">
        <v>809</v>
      </c>
      <c r="K308" s="165">
        <v>16.25</v>
      </c>
      <c r="L308" s="165">
        <v>5</v>
      </c>
      <c r="M308" s="169">
        <v>200</v>
      </c>
      <c r="N308" s="169" t="s">
        <v>817</v>
      </c>
    </row>
    <row r="309" spans="1:14" ht="15">
      <c r="A309" s="4" t="s">
        <v>247</v>
      </c>
      <c r="B309" s="4" t="s">
        <v>1853</v>
      </c>
      <c r="C309" s="330" t="s">
        <v>816</v>
      </c>
      <c r="D309" s="331">
        <v>4.5</v>
      </c>
      <c r="E309" s="331">
        <v>1.4</v>
      </c>
      <c r="F309" s="331">
        <v>3.81</v>
      </c>
      <c r="G309" s="331">
        <v>6.01</v>
      </c>
      <c r="H309" s="331">
        <v>1.83</v>
      </c>
      <c r="I309" s="331">
        <v>25</v>
      </c>
      <c r="J309" s="165" t="s">
        <v>809</v>
      </c>
      <c r="K309" s="165">
        <v>23.2261807</v>
      </c>
      <c r="L309" s="165">
        <v>5</v>
      </c>
      <c r="M309" s="169">
        <v>200</v>
      </c>
      <c r="N309" s="169" t="s">
        <v>817</v>
      </c>
    </row>
    <row r="310" spans="1:14" ht="15">
      <c r="A310" s="4" t="s">
        <v>735</v>
      </c>
      <c r="B310" s="4" t="s">
        <v>1854</v>
      </c>
      <c r="C310" s="330" t="s">
        <v>816</v>
      </c>
      <c r="D310" s="331">
        <v>3.6</v>
      </c>
      <c r="E310" s="331">
        <v>1.1000000000000001</v>
      </c>
      <c r="F310" s="331">
        <v>4.12</v>
      </c>
      <c r="G310" s="331">
        <v>4.82</v>
      </c>
      <c r="H310" s="331">
        <v>1.82</v>
      </c>
      <c r="I310" s="331">
        <v>25</v>
      </c>
      <c r="J310" s="165" t="s">
        <v>809</v>
      </c>
      <c r="K310" s="165">
        <v>28.800464000000002</v>
      </c>
      <c r="L310" s="165">
        <v>5</v>
      </c>
      <c r="M310" s="169">
        <v>200</v>
      </c>
      <c r="N310" s="169" t="s">
        <v>817</v>
      </c>
    </row>
    <row r="311" spans="1:14" ht="15">
      <c r="A311" s="4" t="s">
        <v>759</v>
      </c>
      <c r="B311" s="4" t="s">
        <v>1855</v>
      </c>
      <c r="C311" s="330" t="s">
        <v>816</v>
      </c>
      <c r="D311" s="331">
        <v>4.5999999999999996</v>
      </c>
      <c r="E311" s="331">
        <v>0.6</v>
      </c>
      <c r="F311" s="331">
        <v>3.6</v>
      </c>
      <c r="G311" s="331">
        <v>10.9</v>
      </c>
      <c r="H311" s="331">
        <v>1.4</v>
      </c>
      <c r="I311" s="331">
        <v>25</v>
      </c>
      <c r="J311" s="165" t="s">
        <v>809</v>
      </c>
      <c r="K311" s="165">
        <v>28.75</v>
      </c>
      <c r="L311" s="165">
        <v>5</v>
      </c>
      <c r="M311" s="169">
        <v>200</v>
      </c>
      <c r="N311" s="169" t="s">
        <v>817</v>
      </c>
    </row>
    <row r="312" spans="1:14" ht="15">
      <c r="A312" s="4" t="s">
        <v>482</v>
      </c>
      <c r="B312" s="4" t="s">
        <v>1856</v>
      </c>
      <c r="C312" s="330" t="s">
        <v>816</v>
      </c>
      <c r="D312" s="331">
        <v>4.9000000000000004</v>
      </c>
      <c r="E312" s="331">
        <v>0</v>
      </c>
      <c r="F312" s="331">
        <v>3.2</v>
      </c>
      <c r="G312" s="331">
        <v>9.8000000000000007</v>
      </c>
      <c r="H312" s="331">
        <v>1.9</v>
      </c>
      <c r="I312" s="331">
        <v>25</v>
      </c>
      <c r="J312" s="165" t="s">
        <v>809</v>
      </c>
      <c r="K312" s="165">
        <v>19.9997632</v>
      </c>
      <c r="L312" s="165">
        <v>5</v>
      </c>
      <c r="M312" s="169">
        <v>200</v>
      </c>
      <c r="N312" s="169" t="s">
        <v>817</v>
      </c>
    </row>
    <row r="313" spans="1:14" ht="15">
      <c r="A313" s="4" t="s">
        <v>307</v>
      </c>
      <c r="B313" s="4" t="s">
        <v>1857</v>
      </c>
      <c r="C313" s="330" t="s">
        <v>816</v>
      </c>
      <c r="D313" s="331">
        <v>28.2</v>
      </c>
      <c r="E313" s="331">
        <v>0</v>
      </c>
      <c r="F313" s="331">
        <v>8.6999999999999993</v>
      </c>
      <c r="G313" s="331">
        <v>11.8</v>
      </c>
      <c r="H313" s="331">
        <v>0</v>
      </c>
      <c r="I313" s="331"/>
      <c r="J313" s="165" t="s">
        <v>1105</v>
      </c>
      <c r="K313" s="165">
        <v>10.2845107</v>
      </c>
      <c r="L313" s="165">
        <v>5</v>
      </c>
      <c r="M313" s="169">
        <v>50</v>
      </c>
      <c r="N313" s="169" t="s">
        <v>817</v>
      </c>
    </row>
    <row r="314" spans="1:14" ht="15">
      <c r="A314" s="4" t="s">
        <v>75</v>
      </c>
      <c r="B314" s="4" t="s">
        <v>248</v>
      </c>
      <c r="C314" s="330" t="s">
        <v>816</v>
      </c>
      <c r="D314" s="331">
        <v>60</v>
      </c>
      <c r="E314" s="331">
        <v>4.2</v>
      </c>
      <c r="F314" s="331">
        <v>80</v>
      </c>
      <c r="G314" s="331">
        <v>150</v>
      </c>
      <c r="H314" s="331">
        <v>30</v>
      </c>
      <c r="I314" s="331"/>
      <c r="J314" s="165" t="s">
        <v>1105</v>
      </c>
      <c r="K314" s="165">
        <v>5.1975484200000004</v>
      </c>
      <c r="L314" s="165">
        <v>2</v>
      </c>
      <c r="M314" s="169">
        <v>10</v>
      </c>
      <c r="N314" s="169" t="s">
        <v>817</v>
      </c>
    </row>
    <row r="315" spans="1:14" ht="15">
      <c r="A315" s="4" t="s">
        <v>684</v>
      </c>
      <c r="B315" s="4" t="s">
        <v>736</v>
      </c>
      <c r="C315" s="330" t="s">
        <v>814</v>
      </c>
      <c r="D315" s="331">
        <v>1.6</v>
      </c>
      <c r="E315" s="331">
        <v>0.06</v>
      </c>
      <c r="F315" s="331">
        <v>0</v>
      </c>
      <c r="G315" s="331">
        <v>14.5</v>
      </c>
      <c r="H315" s="331">
        <v>0</v>
      </c>
      <c r="I315" s="331"/>
      <c r="J315" s="165" t="s">
        <v>1105</v>
      </c>
      <c r="K315" s="165">
        <v>16.949407900000001</v>
      </c>
      <c r="L315" s="165">
        <v>3.5779640700000002</v>
      </c>
      <c r="M315" s="169">
        <v>200</v>
      </c>
      <c r="N315" s="169" t="s">
        <v>818</v>
      </c>
    </row>
    <row r="316" spans="1:14" ht="15">
      <c r="A316" s="4" t="s">
        <v>76</v>
      </c>
      <c r="B316" s="4" t="s">
        <v>760</v>
      </c>
      <c r="C316" s="330" t="s">
        <v>816</v>
      </c>
      <c r="D316" s="331">
        <v>40</v>
      </c>
      <c r="E316" s="331">
        <v>1.6</v>
      </c>
      <c r="F316" s="331">
        <v>0</v>
      </c>
      <c r="G316" s="331">
        <v>0</v>
      </c>
      <c r="H316" s="331">
        <v>0</v>
      </c>
      <c r="I316" s="331"/>
      <c r="J316" s="165" t="s">
        <v>1105</v>
      </c>
      <c r="K316" s="165">
        <v>3.32318252</v>
      </c>
      <c r="L316" s="165">
        <v>2.5</v>
      </c>
      <c r="M316" s="169">
        <v>200</v>
      </c>
      <c r="N316" s="169" t="s">
        <v>817</v>
      </c>
    </row>
    <row r="317" spans="1:14" ht="15">
      <c r="A317" s="4" t="s">
        <v>737</v>
      </c>
      <c r="B317" s="4" t="s">
        <v>483</v>
      </c>
      <c r="C317" s="330" t="s">
        <v>816</v>
      </c>
      <c r="D317" s="331">
        <v>20</v>
      </c>
      <c r="E317" s="331">
        <v>2</v>
      </c>
      <c r="F317" s="331">
        <v>1</v>
      </c>
      <c r="G317" s="331">
        <v>20</v>
      </c>
      <c r="H317" s="331">
        <v>30</v>
      </c>
      <c r="I317" s="331"/>
      <c r="J317" s="165" t="s">
        <v>1105</v>
      </c>
      <c r="K317" s="165">
        <v>7.7777777800000001</v>
      </c>
      <c r="L317" s="165">
        <v>1.5</v>
      </c>
      <c r="M317" s="169">
        <v>25</v>
      </c>
      <c r="N317" s="169" t="s">
        <v>817</v>
      </c>
    </row>
    <row r="318" spans="1:14" ht="15">
      <c r="A318" s="4" t="s">
        <v>431</v>
      </c>
      <c r="B318" s="4" t="s">
        <v>308</v>
      </c>
      <c r="C318" s="330" t="s">
        <v>816</v>
      </c>
      <c r="D318" s="331">
        <v>50</v>
      </c>
      <c r="E318" s="331">
        <v>5</v>
      </c>
      <c r="F318" s="331">
        <v>40</v>
      </c>
      <c r="G318" s="331">
        <v>50</v>
      </c>
      <c r="H318" s="331">
        <v>2</v>
      </c>
      <c r="I318" s="331"/>
      <c r="J318" s="165" t="s">
        <v>1105</v>
      </c>
      <c r="K318" s="165">
        <v>5</v>
      </c>
      <c r="L318" s="165">
        <v>1.5</v>
      </c>
      <c r="M318" s="169">
        <v>25</v>
      </c>
      <c r="N318" s="169" t="s">
        <v>817</v>
      </c>
    </row>
    <row r="319" spans="1:14" ht="15">
      <c r="A319" s="4" t="s">
        <v>433</v>
      </c>
      <c r="B319" s="4" t="s">
        <v>1858</v>
      </c>
      <c r="C319" s="330" t="s">
        <v>816</v>
      </c>
      <c r="D319" s="331">
        <v>69.97</v>
      </c>
      <c r="E319" s="331">
        <v>1.84</v>
      </c>
      <c r="F319" s="331">
        <v>5.23</v>
      </c>
      <c r="G319" s="331">
        <v>0.95</v>
      </c>
      <c r="H319" s="331">
        <v>0</v>
      </c>
      <c r="I319" s="331"/>
      <c r="J319" s="165" t="s">
        <v>1105</v>
      </c>
      <c r="K319" s="165">
        <v>5.8425222999999997</v>
      </c>
      <c r="L319" s="165">
        <v>3</v>
      </c>
      <c r="M319" s="169">
        <v>25</v>
      </c>
      <c r="N319" s="169" t="s">
        <v>817</v>
      </c>
    </row>
    <row r="320" spans="1:14" ht="15">
      <c r="A320" s="4" t="s">
        <v>249</v>
      </c>
      <c r="B320" s="4" t="s">
        <v>1859</v>
      </c>
      <c r="C320" s="330" t="s">
        <v>816</v>
      </c>
      <c r="D320" s="331">
        <v>70</v>
      </c>
      <c r="E320" s="331">
        <v>0</v>
      </c>
      <c r="F320" s="331">
        <v>10.08</v>
      </c>
      <c r="G320" s="331">
        <v>10</v>
      </c>
      <c r="H320" s="331">
        <v>0</v>
      </c>
      <c r="I320" s="331"/>
      <c r="J320" s="165" t="s">
        <v>1105</v>
      </c>
      <c r="K320" s="165">
        <v>6</v>
      </c>
      <c r="L320" s="165">
        <v>3</v>
      </c>
      <c r="M320" s="169">
        <v>10</v>
      </c>
      <c r="N320" s="169" t="s">
        <v>817</v>
      </c>
    </row>
    <row r="321" spans="1:14" ht="15">
      <c r="A321" s="4" t="s">
        <v>129</v>
      </c>
      <c r="B321" s="4" t="s">
        <v>1860</v>
      </c>
      <c r="C321" s="330" t="s">
        <v>816</v>
      </c>
      <c r="D321" s="331">
        <v>63.76</v>
      </c>
      <c r="E321" s="331">
        <v>2.4900000000000002</v>
      </c>
      <c r="F321" s="331">
        <v>14.12</v>
      </c>
      <c r="G321" s="331">
        <v>9.75</v>
      </c>
      <c r="H321" s="331">
        <v>0.94</v>
      </c>
      <c r="I321" s="331"/>
      <c r="J321" s="165" t="s">
        <v>1105</v>
      </c>
      <c r="K321" s="165">
        <v>6.8418399900000004</v>
      </c>
      <c r="L321" s="165">
        <v>3</v>
      </c>
      <c r="M321" s="169">
        <v>10</v>
      </c>
      <c r="N321" s="169" t="s">
        <v>817</v>
      </c>
    </row>
    <row r="322" spans="1:14" ht="15">
      <c r="A322" s="4" t="s">
        <v>350</v>
      </c>
      <c r="B322" s="4" t="s">
        <v>738</v>
      </c>
      <c r="C322" s="330" t="s">
        <v>814</v>
      </c>
      <c r="D322" s="331">
        <v>90</v>
      </c>
      <c r="E322" s="331">
        <v>0.9</v>
      </c>
      <c r="F322" s="331">
        <v>0</v>
      </c>
      <c r="G322" s="331">
        <v>0</v>
      </c>
      <c r="H322" s="331">
        <v>0</v>
      </c>
      <c r="I322" s="331"/>
      <c r="J322" s="165" t="s">
        <v>1105</v>
      </c>
      <c r="K322" s="165">
        <v>4.0404040400000003</v>
      </c>
      <c r="L322" s="165">
        <v>1.5</v>
      </c>
      <c r="M322" s="169">
        <v>25</v>
      </c>
      <c r="N322" s="169" t="s">
        <v>817</v>
      </c>
    </row>
    <row r="323" spans="1:14" ht="15">
      <c r="A323" s="4" t="s">
        <v>251</v>
      </c>
      <c r="B323" s="4" t="s">
        <v>432</v>
      </c>
      <c r="C323" s="330" t="s">
        <v>814</v>
      </c>
      <c r="D323" s="331">
        <v>22.6</v>
      </c>
      <c r="E323" s="331">
        <v>0</v>
      </c>
      <c r="F323" s="331">
        <v>12</v>
      </c>
      <c r="G323" s="331">
        <v>7</v>
      </c>
      <c r="H323" s="331">
        <v>5.7</v>
      </c>
      <c r="I323" s="331"/>
      <c r="J323" s="165" t="s">
        <v>1105</v>
      </c>
      <c r="K323" s="165">
        <v>7.5970679399999996</v>
      </c>
      <c r="L323" s="165">
        <v>3</v>
      </c>
      <c r="M323" s="169">
        <v>25</v>
      </c>
      <c r="N323" s="169" t="s">
        <v>817</v>
      </c>
    </row>
    <row r="324" spans="1:14" ht="15">
      <c r="A324" s="4" t="s">
        <v>253</v>
      </c>
      <c r="B324" s="4" t="s">
        <v>434</v>
      </c>
      <c r="C324" s="330" t="s">
        <v>816</v>
      </c>
      <c r="D324" s="331">
        <v>20</v>
      </c>
      <c r="E324" s="331">
        <v>0.6</v>
      </c>
      <c r="F324" s="331">
        <v>15</v>
      </c>
      <c r="G324" s="331">
        <v>15</v>
      </c>
      <c r="H324" s="331">
        <v>45</v>
      </c>
      <c r="I324" s="331"/>
      <c r="J324" s="165" t="s">
        <v>1105</v>
      </c>
      <c r="K324" s="165">
        <v>16.4446145</v>
      </c>
      <c r="L324" s="165">
        <v>6</v>
      </c>
      <c r="M324" s="169">
        <v>200</v>
      </c>
      <c r="N324" s="169" t="s">
        <v>817</v>
      </c>
    </row>
    <row r="325" spans="1:14" ht="15">
      <c r="A325" s="4" t="s">
        <v>255</v>
      </c>
      <c r="B325" s="4" t="s">
        <v>250</v>
      </c>
      <c r="C325" s="330" t="s">
        <v>816</v>
      </c>
      <c r="D325" s="331">
        <v>100</v>
      </c>
      <c r="E325" s="331">
        <v>0</v>
      </c>
      <c r="F325" s="331">
        <v>20</v>
      </c>
      <c r="G325" s="331">
        <v>40</v>
      </c>
      <c r="H325" s="331">
        <v>16</v>
      </c>
      <c r="I325" s="331"/>
      <c r="J325" s="165" t="s">
        <v>1105</v>
      </c>
      <c r="K325" s="165">
        <v>3.4802784199999999</v>
      </c>
      <c r="L325" s="165">
        <v>2</v>
      </c>
      <c r="M325" s="169">
        <v>15</v>
      </c>
      <c r="N325" s="169" t="s">
        <v>817</v>
      </c>
    </row>
    <row r="326" spans="1:14" ht="15">
      <c r="A326" s="4" t="s">
        <v>257</v>
      </c>
      <c r="B326" s="4" t="s">
        <v>130</v>
      </c>
      <c r="C326" s="330" t="s">
        <v>816</v>
      </c>
      <c r="D326" s="331">
        <v>10</v>
      </c>
      <c r="E326" s="331">
        <v>0</v>
      </c>
      <c r="F326" s="331">
        <v>200</v>
      </c>
      <c r="G326" s="331">
        <v>0</v>
      </c>
      <c r="H326" s="331">
        <v>0</v>
      </c>
      <c r="I326" s="331"/>
      <c r="J326" s="165" t="s">
        <v>1105</v>
      </c>
      <c r="K326" s="165">
        <v>14.5011601</v>
      </c>
      <c r="L326" s="165">
        <v>3</v>
      </c>
      <c r="M326" s="169">
        <v>20</v>
      </c>
      <c r="N326" s="169" t="s">
        <v>817</v>
      </c>
    </row>
    <row r="327" spans="1:14" ht="15">
      <c r="A327" s="4" t="s">
        <v>309</v>
      </c>
      <c r="B327" s="4" t="s">
        <v>351</v>
      </c>
      <c r="C327" s="330" t="s">
        <v>816</v>
      </c>
      <c r="D327" s="331">
        <v>140</v>
      </c>
      <c r="E327" s="331">
        <v>0</v>
      </c>
      <c r="F327" s="331">
        <v>10</v>
      </c>
      <c r="G327" s="331">
        <v>3</v>
      </c>
      <c r="H327" s="331">
        <v>0</v>
      </c>
      <c r="I327" s="331">
        <v>70</v>
      </c>
      <c r="J327" s="165" t="s">
        <v>1105</v>
      </c>
      <c r="K327" s="165">
        <v>4.0603248299999999</v>
      </c>
      <c r="L327" s="165">
        <v>2</v>
      </c>
      <c r="M327" s="169">
        <v>10</v>
      </c>
      <c r="N327" s="169" t="s">
        <v>817</v>
      </c>
    </row>
    <row r="328" spans="1:14" ht="15">
      <c r="A328" s="4" t="s">
        <v>311</v>
      </c>
      <c r="B328" s="4" t="s">
        <v>252</v>
      </c>
      <c r="C328" s="330" t="s">
        <v>816</v>
      </c>
      <c r="D328" s="331">
        <v>110</v>
      </c>
      <c r="E328" s="331">
        <v>0.5</v>
      </c>
      <c r="F328" s="331">
        <v>15</v>
      </c>
      <c r="G328" s="331">
        <v>15</v>
      </c>
      <c r="H328" s="331">
        <v>0</v>
      </c>
      <c r="I328" s="331"/>
      <c r="J328" s="165" t="s">
        <v>1105</v>
      </c>
      <c r="K328" s="165">
        <v>3.3150578999999998</v>
      </c>
      <c r="L328" s="165">
        <v>2</v>
      </c>
      <c r="M328" s="169">
        <v>10</v>
      </c>
      <c r="N328" s="169" t="s">
        <v>817</v>
      </c>
    </row>
    <row r="329" spans="1:14" ht="15">
      <c r="A329" s="4" t="s">
        <v>313</v>
      </c>
      <c r="B329" s="4" t="s">
        <v>254</v>
      </c>
      <c r="C329" s="330" t="s">
        <v>816</v>
      </c>
      <c r="D329" s="331">
        <v>60</v>
      </c>
      <c r="E329" s="331">
        <v>1.5</v>
      </c>
      <c r="F329" s="331">
        <v>30</v>
      </c>
      <c r="G329" s="331">
        <v>20</v>
      </c>
      <c r="H329" s="331">
        <v>0</v>
      </c>
      <c r="I329" s="331"/>
      <c r="J329" s="165" t="s">
        <v>1105</v>
      </c>
      <c r="K329" s="165">
        <v>8.4280246699999992</v>
      </c>
      <c r="L329" s="165">
        <v>3</v>
      </c>
      <c r="M329" s="169">
        <v>25</v>
      </c>
      <c r="N329" s="169" t="s">
        <v>817</v>
      </c>
    </row>
    <row r="330" spans="1:14" ht="15">
      <c r="A330" s="4" t="s">
        <v>315</v>
      </c>
      <c r="B330" s="4" t="s">
        <v>256</v>
      </c>
      <c r="C330" s="330" t="s">
        <v>816</v>
      </c>
      <c r="D330" s="331">
        <v>70</v>
      </c>
      <c r="E330" s="331">
        <v>1.75</v>
      </c>
      <c r="F330" s="331">
        <v>50</v>
      </c>
      <c r="G330" s="331">
        <v>10</v>
      </c>
      <c r="H330" s="331">
        <v>5</v>
      </c>
      <c r="I330" s="331"/>
      <c r="J330" s="165" t="s">
        <v>1105</v>
      </c>
      <c r="K330" s="165">
        <v>6.7990787199999998</v>
      </c>
      <c r="L330" s="165">
        <v>3</v>
      </c>
      <c r="M330" s="169">
        <v>25</v>
      </c>
      <c r="N330" s="169" t="s">
        <v>817</v>
      </c>
    </row>
    <row r="331" spans="1:14" ht="15">
      <c r="A331" s="4" t="s">
        <v>710</v>
      </c>
      <c r="B331" s="4" t="s">
        <v>258</v>
      </c>
      <c r="C331" s="330" t="s">
        <v>816</v>
      </c>
      <c r="D331" s="331">
        <v>50</v>
      </c>
      <c r="E331" s="331">
        <v>1.25</v>
      </c>
      <c r="F331" s="331">
        <v>40</v>
      </c>
      <c r="G331" s="331">
        <v>80</v>
      </c>
      <c r="H331" s="331">
        <v>30</v>
      </c>
      <c r="I331" s="331"/>
      <c r="J331" s="165" t="s">
        <v>1105</v>
      </c>
      <c r="K331" s="165">
        <v>6.1538461499999997</v>
      </c>
      <c r="L331" s="165">
        <v>3</v>
      </c>
      <c r="M331" s="167">
        <v>25</v>
      </c>
      <c r="N331" s="166" t="s">
        <v>817</v>
      </c>
    </row>
    <row r="332" spans="1:14" ht="15">
      <c r="A332" s="4" t="s">
        <v>619</v>
      </c>
      <c r="B332" s="4" t="s">
        <v>310</v>
      </c>
      <c r="C332" s="330" t="s">
        <v>814</v>
      </c>
      <c r="D332" s="331">
        <v>10</v>
      </c>
      <c r="E332" s="331">
        <v>0.5</v>
      </c>
      <c r="F332" s="331">
        <v>0</v>
      </c>
      <c r="G332" s="331">
        <v>40</v>
      </c>
      <c r="H332" s="331">
        <v>0</v>
      </c>
      <c r="I332" s="331"/>
      <c r="J332" s="165" t="s">
        <v>1105</v>
      </c>
      <c r="K332" s="165">
        <v>4.2105263199999996</v>
      </c>
      <c r="L332" s="165">
        <v>1.5</v>
      </c>
      <c r="M332" s="167">
        <v>25</v>
      </c>
      <c r="N332" s="166" t="s">
        <v>817</v>
      </c>
    </row>
    <row r="333" spans="1:14" ht="15">
      <c r="A333" s="4" t="s">
        <v>788</v>
      </c>
      <c r="B333" s="4" t="s">
        <v>312</v>
      </c>
      <c r="C333" s="330" t="s">
        <v>814</v>
      </c>
      <c r="D333" s="331">
        <v>10</v>
      </c>
      <c r="E333" s="331">
        <v>0.5</v>
      </c>
      <c r="F333" s="331">
        <v>0</v>
      </c>
      <c r="G333" s="331">
        <v>0</v>
      </c>
      <c r="H333" s="331">
        <v>0</v>
      </c>
      <c r="I333" s="331"/>
      <c r="J333" s="165" t="s">
        <v>1105</v>
      </c>
      <c r="K333" s="165">
        <v>4.2105263199999996</v>
      </c>
      <c r="L333" s="165">
        <v>1.5</v>
      </c>
      <c r="M333" s="167">
        <v>25</v>
      </c>
      <c r="N333" s="166" t="s">
        <v>817</v>
      </c>
    </row>
    <row r="334" spans="1:14" ht="15">
      <c r="A334" s="4" t="s">
        <v>527</v>
      </c>
      <c r="B334" s="4" t="s">
        <v>314</v>
      </c>
      <c r="C334" s="330" t="s">
        <v>814</v>
      </c>
      <c r="D334" s="331">
        <v>10</v>
      </c>
      <c r="E334" s="331">
        <v>0.5</v>
      </c>
      <c r="F334" s="331">
        <v>0</v>
      </c>
      <c r="G334" s="331">
        <v>20</v>
      </c>
      <c r="H334" s="331">
        <v>0</v>
      </c>
      <c r="I334" s="331"/>
      <c r="J334" s="165" t="s">
        <v>1105</v>
      </c>
      <c r="K334" s="165">
        <v>4.2105263199999996</v>
      </c>
      <c r="L334" s="165">
        <v>1.5</v>
      </c>
      <c r="M334" s="167">
        <v>25</v>
      </c>
      <c r="N334" s="166" t="s">
        <v>817</v>
      </c>
    </row>
    <row r="335" spans="1:14" ht="15">
      <c r="A335" s="4" t="s">
        <v>579</v>
      </c>
      <c r="B335" s="4" t="s">
        <v>316</v>
      </c>
      <c r="C335" s="330" t="s">
        <v>814</v>
      </c>
      <c r="D335" s="331">
        <v>5</v>
      </c>
      <c r="E335" s="331">
        <v>0.25</v>
      </c>
      <c r="F335" s="331">
        <v>0</v>
      </c>
      <c r="G335" s="331">
        <v>20</v>
      </c>
      <c r="H335" s="331">
        <v>0</v>
      </c>
      <c r="I335" s="331"/>
      <c r="J335" s="165" t="s">
        <v>1105</v>
      </c>
      <c r="K335" s="165">
        <v>4.2105263199999996</v>
      </c>
      <c r="L335" s="165">
        <v>1.5</v>
      </c>
      <c r="M335" s="167">
        <v>25</v>
      </c>
      <c r="N335" s="166" t="s">
        <v>817</v>
      </c>
    </row>
    <row r="336" spans="1:14" ht="15">
      <c r="A336" s="4" t="s">
        <v>580</v>
      </c>
      <c r="B336" s="4" t="s">
        <v>1861</v>
      </c>
      <c r="C336" s="330" t="s">
        <v>816</v>
      </c>
      <c r="D336" s="331">
        <v>18</v>
      </c>
      <c r="E336" s="331">
        <v>5</v>
      </c>
      <c r="F336" s="331">
        <v>20</v>
      </c>
      <c r="G336" s="331">
        <v>16</v>
      </c>
      <c r="H336" s="331">
        <v>5</v>
      </c>
      <c r="I336" s="331">
        <v>30</v>
      </c>
      <c r="J336" s="165" t="s">
        <v>807</v>
      </c>
      <c r="K336" s="165">
        <v>13.8461538</v>
      </c>
      <c r="L336" s="165">
        <v>3</v>
      </c>
      <c r="M336" s="167">
        <v>25</v>
      </c>
      <c r="N336" s="166" t="s">
        <v>817</v>
      </c>
    </row>
    <row r="337" spans="1:14" ht="15">
      <c r="A337" s="4" t="s">
        <v>581</v>
      </c>
      <c r="B337" s="4" t="s">
        <v>1862</v>
      </c>
      <c r="C337" s="330" t="s">
        <v>816</v>
      </c>
      <c r="D337" s="331">
        <v>19.100000000000001</v>
      </c>
      <c r="E337" s="331">
        <v>0</v>
      </c>
      <c r="F337" s="331">
        <v>18.100000000000001</v>
      </c>
      <c r="G337" s="331">
        <v>16.399999999999999</v>
      </c>
      <c r="H337" s="331">
        <v>6.2</v>
      </c>
      <c r="I337" s="331">
        <v>30</v>
      </c>
      <c r="J337" s="165" t="s">
        <v>807</v>
      </c>
      <c r="K337" s="165">
        <v>7.0000364399999997</v>
      </c>
      <c r="L337" s="165">
        <v>3</v>
      </c>
      <c r="M337" s="167">
        <v>25</v>
      </c>
      <c r="N337" s="166" t="s">
        <v>817</v>
      </c>
    </row>
    <row r="338" spans="1:14" ht="15">
      <c r="A338" s="4" t="s">
        <v>582</v>
      </c>
      <c r="B338" s="4" t="s">
        <v>1863</v>
      </c>
      <c r="C338" s="330" t="s">
        <v>816</v>
      </c>
      <c r="D338" s="331">
        <v>11.64</v>
      </c>
      <c r="E338" s="331">
        <v>2.11</v>
      </c>
      <c r="F338" s="331">
        <v>31.2</v>
      </c>
      <c r="G338" s="331">
        <v>19.63</v>
      </c>
      <c r="H338" s="331">
        <v>6.47</v>
      </c>
      <c r="I338" s="331">
        <v>30</v>
      </c>
      <c r="J338" s="165" t="s">
        <v>807</v>
      </c>
      <c r="K338" s="165">
        <v>18.925459499999999</v>
      </c>
      <c r="L338" s="165">
        <v>3</v>
      </c>
      <c r="M338" s="167">
        <v>25</v>
      </c>
      <c r="N338" s="166" t="s">
        <v>817</v>
      </c>
    </row>
    <row r="339" spans="1:14" ht="15">
      <c r="A339" s="4" t="s">
        <v>769</v>
      </c>
      <c r="B339" s="4" t="s">
        <v>1864</v>
      </c>
      <c r="C339" s="330" t="s">
        <v>816</v>
      </c>
      <c r="D339" s="331">
        <v>24.8</v>
      </c>
      <c r="E339" s="331">
        <v>7.4</v>
      </c>
      <c r="F339" s="331">
        <v>21</v>
      </c>
      <c r="G339" s="331">
        <v>22.9</v>
      </c>
      <c r="H339" s="331">
        <v>5</v>
      </c>
      <c r="I339" s="331">
        <v>30</v>
      </c>
      <c r="J339" s="165" t="s">
        <v>807</v>
      </c>
      <c r="K339" s="165">
        <v>14.2528069</v>
      </c>
      <c r="L339" s="165">
        <v>3</v>
      </c>
      <c r="M339" s="169">
        <v>25</v>
      </c>
      <c r="N339" s="169" t="s">
        <v>817</v>
      </c>
    </row>
    <row r="340" spans="1:14" ht="15">
      <c r="A340" s="4" t="s">
        <v>464</v>
      </c>
      <c r="B340" s="4" t="s">
        <v>1865</v>
      </c>
      <c r="C340" s="330" t="s">
        <v>816</v>
      </c>
      <c r="D340" s="331">
        <v>25.4</v>
      </c>
      <c r="E340" s="331">
        <v>0</v>
      </c>
      <c r="F340" s="331">
        <v>27.3</v>
      </c>
      <c r="G340" s="331">
        <v>26.3</v>
      </c>
      <c r="H340" s="331">
        <v>0</v>
      </c>
      <c r="I340" s="331">
        <v>30</v>
      </c>
      <c r="J340" s="165" t="s">
        <v>807</v>
      </c>
      <c r="K340" s="165">
        <v>10.000091299999999</v>
      </c>
      <c r="L340" s="165">
        <v>3</v>
      </c>
      <c r="M340" s="169">
        <v>25</v>
      </c>
      <c r="N340" s="169" t="s">
        <v>817</v>
      </c>
    </row>
    <row r="341" spans="1:14" ht="15">
      <c r="A341" s="4" t="s">
        <v>466</v>
      </c>
      <c r="B341" s="4" t="s">
        <v>1866</v>
      </c>
      <c r="C341" s="330" t="s">
        <v>816</v>
      </c>
      <c r="D341" s="331">
        <v>23.8</v>
      </c>
      <c r="E341" s="331">
        <v>0</v>
      </c>
      <c r="F341" s="331">
        <v>15.2</v>
      </c>
      <c r="G341" s="331">
        <v>26.3</v>
      </c>
      <c r="H341" s="331">
        <v>0</v>
      </c>
      <c r="I341" s="331">
        <v>30</v>
      </c>
      <c r="J341" s="165" t="s">
        <v>807</v>
      </c>
      <c r="K341" s="165">
        <v>10.999922</v>
      </c>
      <c r="L341" s="165">
        <v>3</v>
      </c>
      <c r="M341" s="169">
        <v>25</v>
      </c>
      <c r="N341" s="169" t="s">
        <v>817</v>
      </c>
    </row>
    <row r="342" spans="1:14" ht="15">
      <c r="A342" s="4" t="s">
        <v>468</v>
      </c>
      <c r="B342" s="4" t="s">
        <v>1867</v>
      </c>
      <c r="C342" s="330" t="s">
        <v>816</v>
      </c>
      <c r="D342" s="331">
        <v>17.600000000000001</v>
      </c>
      <c r="E342" s="331">
        <v>0</v>
      </c>
      <c r="F342" s="331">
        <v>17.2</v>
      </c>
      <c r="G342" s="331">
        <v>16.3</v>
      </c>
      <c r="H342" s="331">
        <v>0</v>
      </c>
      <c r="I342" s="331">
        <v>30</v>
      </c>
      <c r="J342" s="165" t="s">
        <v>807</v>
      </c>
      <c r="K342" s="165">
        <v>13.9998814</v>
      </c>
      <c r="L342" s="165">
        <v>3</v>
      </c>
      <c r="M342" s="169">
        <v>25</v>
      </c>
      <c r="N342" s="169" t="s">
        <v>817</v>
      </c>
    </row>
    <row r="343" spans="1:14" ht="15">
      <c r="A343" s="4" t="s">
        <v>470</v>
      </c>
      <c r="B343" s="4" t="s">
        <v>1868</v>
      </c>
      <c r="C343" s="330" t="s">
        <v>816</v>
      </c>
      <c r="D343" s="331">
        <v>16.7</v>
      </c>
      <c r="E343" s="331">
        <v>0</v>
      </c>
      <c r="F343" s="331">
        <v>10.3</v>
      </c>
      <c r="G343" s="331">
        <v>16.3</v>
      </c>
      <c r="H343" s="331">
        <v>0</v>
      </c>
      <c r="I343" s="331">
        <v>30</v>
      </c>
      <c r="J343" s="165" t="s">
        <v>807</v>
      </c>
      <c r="K343" s="165">
        <v>14.9999305</v>
      </c>
      <c r="L343" s="165">
        <v>3</v>
      </c>
      <c r="M343" s="169">
        <v>25</v>
      </c>
      <c r="N343" s="169" t="s">
        <v>817</v>
      </c>
    </row>
    <row r="344" spans="1:14" ht="15">
      <c r="A344" s="4" t="s">
        <v>472</v>
      </c>
      <c r="B344" s="4" t="s">
        <v>770</v>
      </c>
      <c r="C344" s="330" t="s">
        <v>816</v>
      </c>
      <c r="D344" s="331">
        <v>15</v>
      </c>
      <c r="E344" s="331">
        <v>0.83</v>
      </c>
      <c r="F344" s="331">
        <v>2</v>
      </c>
      <c r="G344" s="331">
        <v>7</v>
      </c>
      <c r="H344" s="331">
        <v>0</v>
      </c>
      <c r="I344" s="331"/>
      <c r="J344" s="165" t="s">
        <v>1105</v>
      </c>
      <c r="K344" s="165">
        <v>14.3271871</v>
      </c>
      <c r="L344" s="165">
        <v>6</v>
      </c>
      <c r="M344" s="169">
        <v>200</v>
      </c>
      <c r="N344" s="169" t="s">
        <v>817</v>
      </c>
    </row>
    <row r="345" spans="1:14" ht="15">
      <c r="A345" s="4" t="s">
        <v>435</v>
      </c>
      <c r="B345" s="4" t="s">
        <v>465</v>
      </c>
      <c r="C345" s="330" t="s">
        <v>816</v>
      </c>
      <c r="D345" s="331">
        <v>70</v>
      </c>
      <c r="E345" s="331">
        <v>3.5</v>
      </c>
      <c r="F345" s="331">
        <v>0</v>
      </c>
      <c r="G345" s="331">
        <v>0</v>
      </c>
      <c r="H345" s="331">
        <v>0</v>
      </c>
      <c r="I345" s="331"/>
      <c r="J345" s="165" t="s">
        <v>1105</v>
      </c>
      <c r="K345" s="165">
        <v>4.2105263199999996</v>
      </c>
      <c r="L345" s="165">
        <v>1.5</v>
      </c>
      <c r="M345" s="169">
        <v>25</v>
      </c>
      <c r="N345" s="169" t="s">
        <v>817</v>
      </c>
    </row>
    <row r="346" spans="1:14" ht="15">
      <c r="A346" s="4" t="s">
        <v>721</v>
      </c>
      <c r="B346" s="4" t="s">
        <v>467</v>
      </c>
      <c r="C346" s="330" t="s">
        <v>816</v>
      </c>
      <c r="D346" s="331">
        <v>70</v>
      </c>
      <c r="E346" s="331">
        <v>3.5</v>
      </c>
      <c r="F346" s="331">
        <v>10</v>
      </c>
      <c r="G346" s="331">
        <v>20</v>
      </c>
      <c r="H346" s="331">
        <v>1.5</v>
      </c>
      <c r="I346" s="331"/>
      <c r="J346" s="165" t="s">
        <v>1105</v>
      </c>
      <c r="K346" s="165">
        <v>4.2105263199999996</v>
      </c>
      <c r="L346" s="165">
        <v>1.5</v>
      </c>
      <c r="M346" s="167">
        <v>25</v>
      </c>
      <c r="N346" s="166" t="s">
        <v>817</v>
      </c>
    </row>
    <row r="347" spans="1:14" ht="15">
      <c r="A347" s="4" t="s">
        <v>723</v>
      </c>
      <c r="B347" s="4" t="s">
        <v>469</v>
      </c>
      <c r="C347" s="330" t="s">
        <v>816</v>
      </c>
      <c r="D347" s="331">
        <v>10</v>
      </c>
      <c r="E347" s="331">
        <v>0.5</v>
      </c>
      <c r="F347" s="331">
        <v>0</v>
      </c>
      <c r="G347" s="331">
        <v>0</v>
      </c>
      <c r="H347" s="331">
        <v>40</v>
      </c>
      <c r="I347" s="331"/>
      <c r="J347" s="165" t="s">
        <v>1105</v>
      </c>
      <c r="K347" s="165">
        <v>4.2105263199999996</v>
      </c>
      <c r="L347" s="165">
        <v>1.5</v>
      </c>
      <c r="M347" s="167">
        <v>25</v>
      </c>
      <c r="N347" s="166" t="s">
        <v>817</v>
      </c>
    </row>
    <row r="348" spans="1:14" ht="15">
      <c r="A348" s="4" t="s">
        <v>77</v>
      </c>
      <c r="B348" s="4" t="s">
        <v>471</v>
      </c>
      <c r="C348" s="330" t="s">
        <v>816</v>
      </c>
      <c r="D348" s="331">
        <v>70</v>
      </c>
      <c r="E348" s="331">
        <v>3.5</v>
      </c>
      <c r="F348" s="331">
        <v>0</v>
      </c>
      <c r="G348" s="331">
        <v>0</v>
      </c>
      <c r="H348" s="331">
        <v>0</v>
      </c>
      <c r="I348" s="331"/>
      <c r="J348" s="165" t="s">
        <v>1105</v>
      </c>
      <c r="K348" s="165">
        <v>4.2105263199999996</v>
      </c>
      <c r="L348" s="165">
        <v>1.5</v>
      </c>
      <c r="M348" s="169">
        <v>25</v>
      </c>
      <c r="N348" s="169" t="s">
        <v>817</v>
      </c>
    </row>
    <row r="349" spans="1:14" ht="15">
      <c r="A349" s="4" t="s">
        <v>78</v>
      </c>
      <c r="B349" s="4" t="s">
        <v>473</v>
      </c>
      <c r="C349" s="330" t="s">
        <v>816</v>
      </c>
      <c r="D349" s="331">
        <v>90</v>
      </c>
      <c r="E349" s="331">
        <v>4.5</v>
      </c>
      <c r="F349" s="331">
        <v>0</v>
      </c>
      <c r="G349" s="331">
        <v>0</v>
      </c>
      <c r="H349" s="331">
        <v>0</v>
      </c>
      <c r="I349" s="331"/>
      <c r="J349" s="165" t="s">
        <v>1105</v>
      </c>
      <c r="K349" s="165">
        <v>4.2105263199999996</v>
      </c>
      <c r="L349" s="165">
        <v>1.5</v>
      </c>
      <c r="M349" s="169">
        <v>25</v>
      </c>
      <c r="N349" s="169" t="s">
        <v>817</v>
      </c>
    </row>
    <row r="350" spans="1:14" ht="15">
      <c r="A350" s="4" t="s">
        <v>677</v>
      </c>
      <c r="B350" s="4" t="s">
        <v>436</v>
      </c>
      <c r="C350" s="330" t="s">
        <v>816</v>
      </c>
      <c r="D350" s="331">
        <v>12.3</v>
      </c>
      <c r="E350" s="331">
        <v>0</v>
      </c>
      <c r="F350" s="331">
        <v>8</v>
      </c>
      <c r="G350" s="331">
        <v>14</v>
      </c>
      <c r="H350" s="331">
        <v>3</v>
      </c>
      <c r="I350" s="331"/>
      <c r="J350" s="165" t="s">
        <v>1105</v>
      </c>
      <c r="K350" s="165">
        <v>36.022296400000002</v>
      </c>
      <c r="L350" s="165">
        <v>5</v>
      </c>
      <c r="M350" s="169">
        <v>200</v>
      </c>
      <c r="N350" s="169" t="s">
        <v>817</v>
      </c>
    </row>
    <row r="351" spans="1:14" ht="15">
      <c r="A351" s="4" t="s">
        <v>437</v>
      </c>
      <c r="B351" s="4" t="s">
        <v>722</v>
      </c>
      <c r="C351" s="330" t="s">
        <v>814</v>
      </c>
      <c r="D351" s="331">
        <v>5.54</v>
      </c>
      <c r="E351" s="331">
        <v>3.6</v>
      </c>
      <c r="F351" s="331">
        <v>1.22</v>
      </c>
      <c r="G351" s="331">
        <v>3.5</v>
      </c>
      <c r="H351" s="331">
        <v>1.01</v>
      </c>
      <c r="I351" s="331">
        <v>50</v>
      </c>
      <c r="J351" s="165" t="s">
        <v>798</v>
      </c>
      <c r="K351" s="165">
        <v>16.555241899999999</v>
      </c>
      <c r="L351" s="165">
        <v>3</v>
      </c>
      <c r="M351" s="169">
        <v>200</v>
      </c>
      <c r="N351" s="169" t="s">
        <v>818</v>
      </c>
    </row>
    <row r="352" spans="1:14" ht="15">
      <c r="A352" s="4" t="s">
        <v>529</v>
      </c>
      <c r="B352" s="4" t="s">
        <v>724</v>
      </c>
      <c r="C352" s="330" t="s">
        <v>814</v>
      </c>
      <c r="D352" s="331">
        <v>4.08</v>
      </c>
      <c r="E352" s="331">
        <v>2.65</v>
      </c>
      <c r="F352" s="331">
        <v>1.42</v>
      </c>
      <c r="G352" s="331">
        <v>4.8</v>
      </c>
      <c r="H352" s="331">
        <v>0.72</v>
      </c>
      <c r="I352" s="331">
        <v>50</v>
      </c>
      <c r="J352" s="165" t="s">
        <v>798</v>
      </c>
      <c r="K352" s="165">
        <v>18.739960700000001</v>
      </c>
      <c r="L352" s="165">
        <v>3</v>
      </c>
      <c r="M352" s="169">
        <v>200</v>
      </c>
      <c r="N352" s="169" t="s">
        <v>818</v>
      </c>
    </row>
    <row r="353" spans="1:14" ht="15">
      <c r="A353" s="4" t="s">
        <v>259</v>
      </c>
      <c r="B353" s="4" t="s">
        <v>1869</v>
      </c>
      <c r="C353" s="330" t="s">
        <v>816</v>
      </c>
      <c r="D353" s="331">
        <v>52.51</v>
      </c>
      <c r="E353" s="331">
        <v>0.09</v>
      </c>
      <c r="F353" s="331">
        <v>24.71</v>
      </c>
      <c r="G353" s="331">
        <v>14.8</v>
      </c>
      <c r="H353" s="331">
        <v>8.06</v>
      </c>
      <c r="I353" s="331">
        <v>30</v>
      </c>
      <c r="J353" s="165" t="s">
        <v>1105</v>
      </c>
      <c r="K353" s="165">
        <v>8.4824870699999995</v>
      </c>
      <c r="L353" s="165">
        <v>5</v>
      </c>
      <c r="M353" s="169">
        <v>50</v>
      </c>
      <c r="N353" s="169" t="s">
        <v>817</v>
      </c>
    </row>
    <row r="354" spans="1:14" ht="15">
      <c r="A354" s="4" t="s">
        <v>338</v>
      </c>
      <c r="B354" s="4" t="s">
        <v>1870</v>
      </c>
      <c r="C354" s="330" t="s">
        <v>816</v>
      </c>
      <c r="D354" s="331">
        <v>38.049999999999997</v>
      </c>
      <c r="E354" s="331">
        <v>0</v>
      </c>
      <c r="F354" s="331">
        <v>8.02</v>
      </c>
      <c r="G354" s="331">
        <v>12.05</v>
      </c>
      <c r="H354" s="331">
        <v>0</v>
      </c>
      <c r="I354" s="331"/>
      <c r="J354" s="165" t="s">
        <v>1105</v>
      </c>
      <c r="K354" s="165">
        <v>5.2431316700000004</v>
      </c>
      <c r="L354" s="165">
        <v>5</v>
      </c>
      <c r="M354" s="169">
        <v>50</v>
      </c>
      <c r="N354" s="169" t="s">
        <v>817</v>
      </c>
    </row>
    <row r="355" spans="1:14" ht="15">
      <c r="A355" s="4" t="s">
        <v>502</v>
      </c>
      <c r="B355" s="4" t="s">
        <v>1871</v>
      </c>
      <c r="C355" s="330" t="s">
        <v>816</v>
      </c>
      <c r="D355" s="331">
        <v>56</v>
      </c>
      <c r="E355" s="331">
        <v>0</v>
      </c>
      <c r="F355" s="331">
        <v>20.62</v>
      </c>
      <c r="G355" s="331">
        <v>15.06</v>
      </c>
      <c r="H355" s="331">
        <v>7.3</v>
      </c>
      <c r="I355" s="331">
        <v>30</v>
      </c>
      <c r="J355" s="165" t="s">
        <v>1105</v>
      </c>
      <c r="K355" s="165">
        <v>6.5000414299999996</v>
      </c>
      <c r="L355" s="165">
        <v>3</v>
      </c>
      <c r="M355" s="169">
        <v>15</v>
      </c>
      <c r="N355" s="169" t="s">
        <v>817</v>
      </c>
    </row>
    <row r="356" spans="1:14" ht="15">
      <c r="A356" s="4" t="s">
        <v>586</v>
      </c>
      <c r="B356" s="4" t="s">
        <v>438</v>
      </c>
      <c r="C356" s="330" t="s">
        <v>816</v>
      </c>
      <c r="D356" s="331">
        <v>70</v>
      </c>
      <c r="E356" s="331">
        <v>0</v>
      </c>
      <c r="F356" s="331">
        <v>30</v>
      </c>
      <c r="G356" s="331">
        <v>10</v>
      </c>
      <c r="H356" s="331">
        <v>0</v>
      </c>
      <c r="I356" s="331"/>
      <c r="J356" s="165" t="s">
        <v>1105</v>
      </c>
      <c r="K356" s="165">
        <v>7.2920119300000001</v>
      </c>
      <c r="L356" s="165">
        <v>2</v>
      </c>
      <c r="M356" s="169">
        <v>15</v>
      </c>
      <c r="N356" s="169" t="s">
        <v>817</v>
      </c>
    </row>
    <row r="357" spans="1:14" ht="15">
      <c r="A357" s="4" t="s">
        <v>534</v>
      </c>
      <c r="B357" s="4" t="s">
        <v>1872</v>
      </c>
      <c r="C357" s="330" t="s">
        <v>816</v>
      </c>
      <c r="D357" s="331">
        <v>6.9</v>
      </c>
      <c r="E357" s="331">
        <v>0</v>
      </c>
      <c r="F357" s="331">
        <v>1.3</v>
      </c>
      <c r="G357" s="331">
        <v>5.9</v>
      </c>
      <c r="H357" s="331">
        <v>2.1</v>
      </c>
      <c r="I357" s="331"/>
      <c r="J357" s="165" t="s">
        <v>1105</v>
      </c>
      <c r="K357" s="165">
        <v>17.000403500000001</v>
      </c>
      <c r="L357" s="165">
        <v>3.58</v>
      </c>
      <c r="M357" s="169">
        <v>200</v>
      </c>
      <c r="N357" s="169" t="s">
        <v>817</v>
      </c>
    </row>
    <row r="358" spans="1:14" ht="15">
      <c r="A358" s="4" t="s">
        <v>753</v>
      </c>
      <c r="B358" s="4" t="s">
        <v>260</v>
      </c>
      <c r="C358" s="330" t="s">
        <v>816</v>
      </c>
      <c r="D358" s="331">
        <v>25</v>
      </c>
      <c r="E358" s="331">
        <v>10.199999999999999</v>
      </c>
      <c r="F358" s="331">
        <v>22.9</v>
      </c>
      <c r="G358" s="331">
        <v>102</v>
      </c>
      <c r="H358" s="331">
        <v>7</v>
      </c>
      <c r="I358" s="331"/>
      <c r="J358" s="165" t="s">
        <v>1105</v>
      </c>
      <c r="K358" s="165">
        <v>12.162162199999999</v>
      </c>
      <c r="L358" s="165">
        <v>3</v>
      </c>
      <c r="M358" s="169">
        <v>25</v>
      </c>
      <c r="N358" s="169" t="s">
        <v>817</v>
      </c>
    </row>
    <row r="359" spans="1:14" ht="15">
      <c r="A359" s="4" t="s">
        <v>633</v>
      </c>
      <c r="B359" s="4" t="s">
        <v>339</v>
      </c>
      <c r="C359" s="330" t="s">
        <v>816</v>
      </c>
      <c r="D359" s="331">
        <v>17</v>
      </c>
      <c r="E359" s="331">
        <v>0.43</v>
      </c>
      <c r="F359" s="331">
        <v>0</v>
      </c>
      <c r="G359" s="331">
        <v>0</v>
      </c>
      <c r="H359" s="331">
        <v>0</v>
      </c>
      <c r="I359" s="331"/>
      <c r="J359" s="165" t="s">
        <v>1105</v>
      </c>
      <c r="K359" s="165">
        <v>18.466969200000001</v>
      </c>
      <c r="L359" s="165">
        <v>3</v>
      </c>
      <c r="M359" s="167">
        <v>25</v>
      </c>
      <c r="N359" s="166" t="s">
        <v>817</v>
      </c>
    </row>
    <row r="360" spans="1:14" ht="15">
      <c r="A360" s="4" t="s">
        <v>634</v>
      </c>
      <c r="B360" s="4" t="s">
        <v>503</v>
      </c>
      <c r="C360" s="330" t="s">
        <v>814</v>
      </c>
      <c r="D360" s="331">
        <v>29</v>
      </c>
      <c r="E360" s="331">
        <v>2.9</v>
      </c>
      <c r="F360" s="331">
        <v>4.2</v>
      </c>
      <c r="G360" s="331">
        <v>10</v>
      </c>
      <c r="H360" s="331">
        <v>0</v>
      </c>
      <c r="I360" s="331"/>
      <c r="J360" s="165" t="s">
        <v>1105</v>
      </c>
      <c r="K360" s="165">
        <v>2.84467202</v>
      </c>
      <c r="L360" s="165">
        <v>1.5</v>
      </c>
      <c r="M360" s="167">
        <v>25</v>
      </c>
      <c r="N360" s="166" t="s">
        <v>818</v>
      </c>
    </row>
    <row r="361" spans="1:14" ht="15">
      <c r="A361" s="4" t="s">
        <v>623</v>
      </c>
      <c r="B361" s="4" t="s">
        <v>1873</v>
      </c>
      <c r="C361" s="330" t="s">
        <v>816</v>
      </c>
      <c r="D361" s="331">
        <v>57</v>
      </c>
      <c r="E361" s="331">
        <v>0</v>
      </c>
      <c r="F361" s="331">
        <v>24</v>
      </c>
      <c r="G361" s="331">
        <v>14</v>
      </c>
      <c r="H361" s="331">
        <v>0</v>
      </c>
      <c r="I361" s="331">
        <v>30</v>
      </c>
      <c r="J361" s="165" t="s">
        <v>1105</v>
      </c>
      <c r="K361" s="165">
        <v>6.0000203499999998</v>
      </c>
      <c r="L361" s="165">
        <v>5</v>
      </c>
      <c r="M361" s="167">
        <v>50</v>
      </c>
      <c r="N361" s="166" t="s">
        <v>817</v>
      </c>
    </row>
    <row r="362" spans="1:14" ht="15">
      <c r="A362" s="4" t="s">
        <v>624</v>
      </c>
      <c r="B362" s="4" t="s">
        <v>1874</v>
      </c>
      <c r="C362" s="330" t="s">
        <v>816</v>
      </c>
      <c r="D362" s="331">
        <v>57</v>
      </c>
      <c r="E362" s="331">
        <v>0</v>
      </c>
      <c r="F362" s="331">
        <v>24</v>
      </c>
      <c r="G362" s="331">
        <v>14</v>
      </c>
      <c r="H362" s="331">
        <v>8</v>
      </c>
      <c r="I362" s="331">
        <v>30</v>
      </c>
      <c r="J362" s="165" t="s">
        <v>1105</v>
      </c>
      <c r="K362" s="165">
        <v>6.0000203499999998</v>
      </c>
      <c r="L362" s="165">
        <v>5</v>
      </c>
      <c r="M362" s="167">
        <v>50</v>
      </c>
      <c r="N362" s="166" t="s">
        <v>817</v>
      </c>
    </row>
    <row r="363" spans="1:14" ht="15">
      <c r="A363" s="4" t="s">
        <v>16</v>
      </c>
      <c r="B363" s="4" t="s">
        <v>754</v>
      </c>
      <c r="C363" s="330" t="s">
        <v>816</v>
      </c>
      <c r="D363" s="331">
        <v>10</v>
      </c>
      <c r="E363" s="331">
        <v>0.4</v>
      </c>
      <c r="F363" s="331">
        <v>0.2</v>
      </c>
      <c r="G363" s="331">
        <v>10</v>
      </c>
      <c r="H363" s="331">
        <v>4</v>
      </c>
      <c r="I363" s="331"/>
      <c r="J363" s="165" t="s">
        <v>1105</v>
      </c>
      <c r="K363" s="165">
        <v>36.252900199999999</v>
      </c>
      <c r="L363" s="165">
        <v>3.5779640700000002</v>
      </c>
      <c r="M363" s="167">
        <v>200</v>
      </c>
      <c r="N363" s="166" t="s">
        <v>817</v>
      </c>
    </row>
    <row r="364" spans="1:14" ht="15">
      <c r="A364" s="4" t="s">
        <v>791</v>
      </c>
      <c r="B364" s="4" t="s">
        <v>1875</v>
      </c>
      <c r="C364" s="330" t="s">
        <v>814</v>
      </c>
      <c r="D364" s="331">
        <v>5.7</v>
      </c>
      <c r="E364" s="331">
        <v>2.8</v>
      </c>
      <c r="F364" s="331">
        <v>2.27</v>
      </c>
      <c r="G364" s="331">
        <v>7.96</v>
      </c>
      <c r="H364" s="331">
        <v>1.24</v>
      </c>
      <c r="I364" s="331">
        <v>60</v>
      </c>
      <c r="J364" s="165" t="s">
        <v>799</v>
      </c>
      <c r="K364" s="165">
        <v>19.575565999999998</v>
      </c>
      <c r="L364" s="165">
        <v>3</v>
      </c>
      <c r="M364" s="167">
        <v>200</v>
      </c>
      <c r="N364" s="166" t="s">
        <v>818</v>
      </c>
    </row>
    <row r="365" spans="1:14" ht="15">
      <c r="A365" s="4" t="s">
        <v>629</v>
      </c>
      <c r="B365" s="4" t="s">
        <v>1876</v>
      </c>
      <c r="C365" s="330" t="s">
        <v>814</v>
      </c>
      <c r="D365" s="331">
        <v>4.5999999999999996</v>
      </c>
      <c r="E365" s="331">
        <v>2.2999999999999998</v>
      </c>
      <c r="F365" s="331">
        <v>2.98</v>
      </c>
      <c r="G365" s="331">
        <v>5.54</v>
      </c>
      <c r="H365" s="331">
        <v>0.99</v>
      </c>
      <c r="I365" s="331">
        <v>60</v>
      </c>
      <c r="J365" s="165" t="s">
        <v>799</v>
      </c>
      <c r="K365" s="165">
        <v>19.920811100000002</v>
      </c>
      <c r="L365" s="165">
        <v>3</v>
      </c>
      <c r="M365" s="167">
        <v>200</v>
      </c>
      <c r="N365" s="166" t="s">
        <v>818</v>
      </c>
    </row>
    <row r="366" spans="1:14" ht="15">
      <c r="A366" s="4" t="s">
        <v>630</v>
      </c>
      <c r="B366" s="4" t="s">
        <v>1877</v>
      </c>
      <c r="C366" s="330" t="s">
        <v>814</v>
      </c>
      <c r="D366" s="331">
        <v>1.9</v>
      </c>
      <c r="E366" s="331">
        <v>0.9</v>
      </c>
      <c r="F366" s="331">
        <v>0.76</v>
      </c>
      <c r="G366" s="331">
        <v>2.66</v>
      </c>
      <c r="H366" s="331">
        <v>0.41</v>
      </c>
      <c r="I366" s="331">
        <v>60</v>
      </c>
      <c r="J366" s="165" t="s">
        <v>799</v>
      </c>
      <c r="K366" s="165">
        <v>18.921113699999999</v>
      </c>
      <c r="L366" s="165">
        <v>3</v>
      </c>
      <c r="M366" s="167">
        <v>200</v>
      </c>
      <c r="N366" s="166" t="s">
        <v>818</v>
      </c>
    </row>
    <row r="367" spans="1:14" ht="15">
      <c r="A367" s="4" t="s">
        <v>777</v>
      </c>
      <c r="B367" s="4" t="s">
        <v>1878</v>
      </c>
      <c r="C367" s="330" t="s">
        <v>814</v>
      </c>
      <c r="D367" s="331">
        <v>1.5</v>
      </c>
      <c r="E367" s="331">
        <v>0.8</v>
      </c>
      <c r="F367" s="331">
        <v>0.92</v>
      </c>
      <c r="G367" s="331">
        <v>1.93</v>
      </c>
      <c r="H367" s="331">
        <v>0.33</v>
      </c>
      <c r="I367" s="331">
        <v>60</v>
      </c>
      <c r="J367" s="165" t="s">
        <v>799</v>
      </c>
      <c r="K367" s="165">
        <v>21.345707699999998</v>
      </c>
      <c r="L367" s="165">
        <v>3</v>
      </c>
      <c r="M367" s="167">
        <v>200</v>
      </c>
      <c r="N367" s="166" t="s">
        <v>818</v>
      </c>
    </row>
    <row r="368" spans="1:14" ht="15">
      <c r="A368" s="4" t="s">
        <v>560</v>
      </c>
      <c r="B368" s="4" t="s">
        <v>1879</v>
      </c>
      <c r="C368" s="330" t="s">
        <v>814</v>
      </c>
      <c r="D368" s="331">
        <v>1.66</v>
      </c>
      <c r="E368" s="331">
        <v>0.83</v>
      </c>
      <c r="F368" s="331">
        <v>1.53</v>
      </c>
      <c r="G368" s="331">
        <v>3.55</v>
      </c>
      <c r="H368" s="331">
        <v>0.75</v>
      </c>
      <c r="I368" s="331">
        <v>60</v>
      </c>
      <c r="J368" s="165" t="s">
        <v>799</v>
      </c>
      <c r="K368" s="165">
        <v>19.959187100000001</v>
      </c>
      <c r="L368" s="165">
        <v>3</v>
      </c>
      <c r="M368" s="167">
        <v>200</v>
      </c>
      <c r="N368" s="166" t="s">
        <v>818</v>
      </c>
    </row>
    <row r="369" spans="1:14" ht="15">
      <c r="A369" s="4" t="s">
        <v>603</v>
      </c>
      <c r="B369" s="4" t="s">
        <v>1880</v>
      </c>
      <c r="C369" s="330" t="s">
        <v>814</v>
      </c>
      <c r="D369" s="331">
        <v>2.2400000000000002</v>
      </c>
      <c r="E369" s="331">
        <v>1.1200000000000001</v>
      </c>
      <c r="F369" s="331">
        <v>2.06</v>
      </c>
      <c r="G369" s="331">
        <v>4.3899999999999997</v>
      </c>
      <c r="H369" s="331">
        <v>0.82</v>
      </c>
      <c r="I369" s="331">
        <v>60</v>
      </c>
      <c r="J369" s="165" t="s">
        <v>799</v>
      </c>
      <c r="K369" s="165">
        <v>19.913200199999999</v>
      </c>
      <c r="L369" s="165">
        <v>3</v>
      </c>
      <c r="M369" s="167">
        <v>200</v>
      </c>
      <c r="N369" s="166" t="s">
        <v>818</v>
      </c>
    </row>
    <row r="370" spans="1:14" ht="15">
      <c r="A370" s="4" t="s">
        <v>600</v>
      </c>
      <c r="B370" s="4" t="s">
        <v>1881</v>
      </c>
      <c r="C370" s="330" t="s">
        <v>814</v>
      </c>
      <c r="D370" s="331">
        <v>3.8</v>
      </c>
      <c r="E370" s="331">
        <v>1.9</v>
      </c>
      <c r="F370" s="331">
        <v>1.52</v>
      </c>
      <c r="G370" s="331">
        <v>5.32</v>
      </c>
      <c r="H370" s="331">
        <v>0.83</v>
      </c>
      <c r="I370" s="331">
        <v>60</v>
      </c>
      <c r="J370" s="165" t="s">
        <v>799</v>
      </c>
      <c r="K370" s="165">
        <v>19.920014699999999</v>
      </c>
      <c r="L370" s="165">
        <v>3</v>
      </c>
      <c r="M370" s="167">
        <v>200</v>
      </c>
      <c r="N370" s="166" t="s">
        <v>818</v>
      </c>
    </row>
    <row r="371" spans="1:14" ht="15">
      <c r="A371" s="4" t="s">
        <v>551</v>
      </c>
      <c r="B371" s="4" t="s">
        <v>1882</v>
      </c>
      <c r="C371" s="330" t="s">
        <v>814</v>
      </c>
      <c r="D371" s="331">
        <v>3</v>
      </c>
      <c r="E371" s="331">
        <v>1.5</v>
      </c>
      <c r="F371" s="331">
        <v>1.1499999999999999</v>
      </c>
      <c r="G371" s="331">
        <v>3.74</v>
      </c>
      <c r="H371" s="331">
        <v>0.66</v>
      </c>
      <c r="I371" s="331">
        <v>60</v>
      </c>
      <c r="J371" s="165" t="s">
        <v>799</v>
      </c>
      <c r="K371" s="165">
        <v>19.9187935</v>
      </c>
      <c r="L371" s="165">
        <v>3</v>
      </c>
      <c r="M371" s="167">
        <v>200</v>
      </c>
      <c r="N371" s="166" t="s">
        <v>818</v>
      </c>
    </row>
    <row r="372" spans="1:14" ht="15">
      <c r="A372" s="4" t="s">
        <v>506</v>
      </c>
      <c r="B372" s="4" t="s">
        <v>1883</v>
      </c>
      <c r="C372" s="330" t="s">
        <v>814</v>
      </c>
      <c r="D372" s="331">
        <v>2.82</v>
      </c>
      <c r="E372" s="331">
        <v>1.41</v>
      </c>
      <c r="F372" s="331">
        <v>2.6</v>
      </c>
      <c r="G372" s="331">
        <v>1.1000000000000001</v>
      </c>
      <c r="H372" s="331">
        <v>0.18</v>
      </c>
      <c r="I372" s="331">
        <v>60</v>
      </c>
      <c r="J372" s="165" t="s">
        <v>799</v>
      </c>
      <c r="K372" s="165">
        <v>19.9601784</v>
      </c>
      <c r="L372" s="165">
        <v>3</v>
      </c>
      <c r="M372" s="167">
        <v>200</v>
      </c>
      <c r="N372" s="166" t="s">
        <v>818</v>
      </c>
    </row>
    <row r="373" spans="1:14" ht="15">
      <c r="A373" s="4" t="s">
        <v>701</v>
      </c>
      <c r="B373" s="4" t="s">
        <v>1884</v>
      </c>
      <c r="C373" s="330" t="s">
        <v>814</v>
      </c>
      <c r="D373" s="331">
        <v>4.7</v>
      </c>
      <c r="E373" s="331">
        <v>2.6</v>
      </c>
      <c r="F373" s="331">
        <v>2.1</v>
      </c>
      <c r="G373" s="331">
        <v>4.9000000000000004</v>
      </c>
      <c r="H373" s="331">
        <v>0</v>
      </c>
      <c r="I373" s="331">
        <v>60</v>
      </c>
      <c r="J373" s="165" t="s">
        <v>799</v>
      </c>
      <c r="K373" s="165">
        <v>21.2628439</v>
      </c>
      <c r="L373" s="165">
        <v>3</v>
      </c>
      <c r="M373" s="167">
        <v>200</v>
      </c>
      <c r="N373" s="166" t="s">
        <v>818</v>
      </c>
    </row>
    <row r="374" spans="1:14" ht="15">
      <c r="A374" s="4" t="s">
        <v>699</v>
      </c>
      <c r="B374" s="4" t="s">
        <v>1885</v>
      </c>
      <c r="C374" s="330" t="s">
        <v>814</v>
      </c>
      <c r="D374" s="331">
        <v>4.7</v>
      </c>
      <c r="E374" s="331">
        <v>2.6</v>
      </c>
      <c r="F374" s="331">
        <v>2.2000000000000002</v>
      </c>
      <c r="G374" s="331">
        <v>5.0999999999999996</v>
      </c>
      <c r="H374" s="331">
        <v>1.2</v>
      </c>
      <c r="I374" s="331">
        <v>60</v>
      </c>
      <c r="J374" s="165" t="s">
        <v>799</v>
      </c>
      <c r="K374" s="165">
        <v>19.0227599</v>
      </c>
      <c r="L374" s="165">
        <v>3</v>
      </c>
      <c r="M374" s="167">
        <v>200</v>
      </c>
      <c r="N374" s="166" t="s">
        <v>818</v>
      </c>
    </row>
    <row r="375" spans="1:14" ht="15">
      <c r="A375" s="4" t="s">
        <v>561</v>
      </c>
      <c r="B375" s="4" t="s">
        <v>1886</v>
      </c>
      <c r="C375" s="330" t="s">
        <v>814</v>
      </c>
      <c r="D375" s="331">
        <v>3.8</v>
      </c>
      <c r="E375" s="331">
        <v>2.2000000000000002</v>
      </c>
      <c r="F375" s="331">
        <v>1.8</v>
      </c>
      <c r="G375" s="331">
        <v>4.2</v>
      </c>
      <c r="H375" s="331">
        <v>1</v>
      </c>
      <c r="I375" s="331">
        <v>60</v>
      </c>
      <c r="J375" s="165" t="s">
        <v>799</v>
      </c>
      <c r="K375" s="165">
        <v>20.189240099999999</v>
      </c>
      <c r="L375" s="165">
        <v>3</v>
      </c>
      <c r="M375" s="167">
        <v>200</v>
      </c>
      <c r="N375" s="166" t="s">
        <v>818</v>
      </c>
    </row>
    <row r="376" spans="1:14" ht="15">
      <c r="A376" s="4" t="s">
        <v>552</v>
      </c>
      <c r="B376" s="4" t="s">
        <v>1887</v>
      </c>
      <c r="C376" s="330" t="s">
        <v>814</v>
      </c>
      <c r="D376" s="331">
        <v>3.6</v>
      </c>
      <c r="E376" s="331">
        <v>2</v>
      </c>
      <c r="F376" s="331">
        <v>1.5</v>
      </c>
      <c r="G376" s="331">
        <v>3.7</v>
      </c>
      <c r="H376" s="331">
        <v>0</v>
      </c>
      <c r="I376" s="331">
        <v>60</v>
      </c>
      <c r="J376" s="165" t="s">
        <v>799</v>
      </c>
      <c r="K376" s="165">
        <v>21.37471</v>
      </c>
      <c r="L376" s="165">
        <v>3</v>
      </c>
      <c r="M376" s="167">
        <v>200</v>
      </c>
      <c r="N376" s="166" t="s">
        <v>818</v>
      </c>
    </row>
    <row r="377" spans="1:14" ht="15">
      <c r="A377" s="4" t="s">
        <v>562</v>
      </c>
      <c r="B377" s="4" t="s">
        <v>1888</v>
      </c>
      <c r="C377" s="330" t="s">
        <v>814</v>
      </c>
      <c r="D377" s="331">
        <v>3.8</v>
      </c>
      <c r="E377" s="331">
        <v>1.9</v>
      </c>
      <c r="F377" s="331">
        <v>1.8</v>
      </c>
      <c r="G377" s="331">
        <v>4.2</v>
      </c>
      <c r="H377" s="331">
        <v>1</v>
      </c>
      <c r="I377" s="331">
        <v>60</v>
      </c>
      <c r="J377" s="165" t="s">
        <v>799</v>
      </c>
      <c r="K377" s="165">
        <v>17.999755799999999</v>
      </c>
      <c r="L377" s="165">
        <v>3</v>
      </c>
      <c r="M377" s="167">
        <v>200</v>
      </c>
      <c r="N377" s="166" t="s">
        <v>818</v>
      </c>
    </row>
    <row r="378" spans="1:14" ht="15">
      <c r="A378" s="4" t="s">
        <v>553</v>
      </c>
      <c r="B378" s="4" t="s">
        <v>1889</v>
      </c>
      <c r="C378" s="330" t="s">
        <v>814</v>
      </c>
      <c r="D378" s="331">
        <v>4.2</v>
      </c>
      <c r="E378" s="331">
        <v>2.2999999999999998</v>
      </c>
      <c r="F378" s="331">
        <v>1.8</v>
      </c>
      <c r="G378" s="331">
        <v>4.5999999999999996</v>
      </c>
      <c r="H378" s="331">
        <v>1</v>
      </c>
      <c r="I378" s="331">
        <v>60</v>
      </c>
      <c r="J378" s="165" t="s">
        <v>799</v>
      </c>
      <c r="K378" s="165">
        <v>22.1058737</v>
      </c>
      <c r="L378" s="165">
        <v>3</v>
      </c>
      <c r="M378" s="167">
        <v>200</v>
      </c>
      <c r="N378" s="166" t="s">
        <v>818</v>
      </c>
    </row>
    <row r="379" spans="1:14" ht="15">
      <c r="A379" s="4" t="s">
        <v>594</v>
      </c>
      <c r="B379" s="4" t="s">
        <v>1890</v>
      </c>
      <c r="C379" s="330" t="s">
        <v>814</v>
      </c>
      <c r="D379" s="331">
        <v>2.9</v>
      </c>
      <c r="E379" s="331">
        <v>1.7</v>
      </c>
      <c r="F379" s="331">
        <v>1.2</v>
      </c>
      <c r="G379" s="331">
        <v>3.1</v>
      </c>
      <c r="H379" s="331">
        <v>0.6</v>
      </c>
      <c r="I379" s="331">
        <v>60</v>
      </c>
      <c r="J379" s="165" t="s">
        <v>799</v>
      </c>
      <c r="K379" s="165">
        <v>19.334880099999999</v>
      </c>
      <c r="L379" s="165">
        <v>3</v>
      </c>
      <c r="M379" s="167">
        <v>200</v>
      </c>
      <c r="N379" s="166" t="s">
        <v>818</v>
      </c>
    </row>
    <row r="380" spans="1:14" ht="15">
      <c r="A380" s="4" t="s">
        <v>563</v>
      </c>
      <c r="B380" s="4" t="s">
        <v>1891</v>
      </c>
      <c r="C380" s="330" t="s">
        <v>814</v>
      </c>
      <c r="D380" s="331">
        <v>3.2</v>
      </c>
      <c r="E380" s="331">
        <v>1.8</v>
      </c>
      <c r="F380" s="331">
        <v>1.3</v>
      </c>
      <c r="G380" s="331">
        <v>5.3</v>
      </c>
      <c r="H380" s="331">
        <v>0</v>
      </c>
      <c r="I380" s="331">
        <v>60</v>
      </c>
      <c r="J380" s="165" t="s">
        <v>799</v>
      </c>
      <c r="K380" s="165">
        <v>32.001988699999998</v>
      </c>
      <c r="L380" s="165">
        <v>3</v>
      </c>
      <c r="M380" s="167">
        <v>200</v>
      </c>
      <c r="N380" s="166" t="s">
        <v>818</v>
      </c>
    </row>
    <row r="381" spans="1:14" ht="15">
      <c r="A381" s="4" t="s">
        <v>554</v>
      </c>
      <c r="B381" s="4" t="s">
        <v>1892</v>
      </c>
      <c r="C381" s="330" t="s">
        <v>814</v>
      </c>
      <c r="D381" s="331">
        <v>2.4</v>
      </c>
      <c r="E381" s="331">
        <v>1.3</v>
      </c>
      <c r="F381" s="331">
        <v>1</v>
      </c>
      <c r="G381" s="331">
        <v>4</v>
      </c>
      <c r="H381" s="331">
        <v>0</v>
      </c>
      <c r="I381" s="331">
        <v>60</v>
      </c>
      <c r="J381" s="165" t="s">
        <v>799</v>
      </c>
      <c r="K381" s="165">
        <v>30.5473529</v>
      </c>
      <c r="L381" s="165">
        <v>3</v>
      </c>
      <c r="M381" s="167">
        <v>200</v>
      </c>
      <c r="N381" s="166" t="s">
        <v>818</v>
      </c>
    </row>
    <row r="382" spans="1:14" ht="15">
      <c r="A382" s="4" t="s">
        <v>507</v>
      </c>
      <c r="B382" s="4" t="s">
        <v>1893</v>
      </c>
      <c r="C382" s="330" t="s">
        <v>814</v>
      </c>
      <c r="D382" s="331">
        <v>4</v>
      </c>
      <c r="E382" s="331">
        <v>2.2000000000000002</v>
      </c>
      <c r="F382" s="331">
        <v>1.6</v>
      </c>
      <c r="G382" s="331">
        <v>6.3</v>
      </c>
      <c r="H382" s="331">
        <v>0</v>
      </c>
      <c r="I382" s="331">
        <v>60</v>
      </c>
      <c r="J382" s="165" t="s">
        <v>799</v>
      </c>
      <c r="K382" s="165">
        <v>24.445733400000002</v>
      </c>
      <c r="L382" s="165">
        <v>3</v>
      </c>
      <c r="M382" s="167">
        <v>200</v>
      </c>
      <c r="N382" s="166" t="s">
        <v>818</v>
      </c>
    </row>
    <row r="383" spans="1:14" ht="15">
      <c r="A383" s="4" t="s">
        <v>564</v>
      </c>
      <c r="B383" s="4" t="s">
        <v>1894</v>
      </c>
      <c r="C383" s="330" t="s">
        <v>814</v>
      </c>
      <c r="D383" s="331">
        <v>3</v>
      </c>
      <c r="E383" s="331">
        <v>1.7</v>
      </c>
      <c r="F383" s="331">
        <v>1.2</v>
      </c>
      <c r="G383" s="331">
        <v>4.7</v>
      </c>
      <c r="H383" s="331">
        <v>0</v>
      </c>
      <c r="I383" s="331">
        <v>60</v>
      </c>
      <c r="J383" s="165" t="s">
        <v>799</v>
      </c>
      <c r="K383" s="165">
        <v>25.383723</v>
      </c>
      <c r="L383" s="165">
        <v>3</v>
      </c>
      <c r="M383" s="167">
        <v>200</v>
      </c>
      <c r="N383" s="166" t="s">
        <v>818</v>
      </c>
    </row>
    <row r="384" spans="1:14" ht="15">
      <c r="A384" s="4" t="s">
        <v>555</v>
      </c>
      <c r="B384" s="4" t="s">
        <v>1895</v>
      </c>
      <c r="C384" s="330" t="s">
        <v>814</v>
      </c>
      <c r="D384" s="331">
        <v>3.5</v>
      </c>
      <c r="E384" s="331">
        <v>2.5</v>
      </c>
      <c r="F384" s="331">
        <v>2.2000000000000002</v>
      </c>
      <c r="G384" s="331">
        <v>3.8</v>
      </c>
      <c r="H384" s="331">
        <v>1</v>
      </c>
      <c r="I384" s="331">
        <v>60</v>
      </c>
      <c r="J384" s="165" t="s">
        <v>799</v>
      </c>
      <c r="K384" s="165">
        <v>17.5</v>
      </c>
      <c r="L384" s="165">
        <v>3</v>
      </c>
      <c r="M384" s="167">
        <v>200</v>
      </c>
      <c r="N384" s="166" t="s">
        <v>818</v>
      </c>
    </row>
    <row r="385" spans="1:14" ht="15">
      <c r="A385" s="4" t="s">
        <v>508</v>
      </c>
      <c r="B385" s="4" t="s">
        <v>1896</v>
      </c>
      <c r="C385" s="330" t="s">
        <v>814</v>
      </c>
      <c r="D385" s="331">
        <v>4.0999999999999996</v>
      </c>
      <c r="E385" s="331">
        <v>2.2999999999999998</v>
      </c>
      <c r="F385" s="331">
        <v>1.7</v>
      </c>
      <c r="G385" s="331">
        <v>5.8</v>
      </c>
      <c r="H385" s="331">
        <v>0</v>
      </c>
      <c r="I385" s="331">
        <v>60</v>
      </c>
      <c r="J385" s="165" t="s">
        <v>799</v>
      </c>
      <c r="K385" s="165">
        <v>25.054782199999998</v>
      </c>
      <c r="L385" s="165">
        <v>3</v>
      </c>
      <c r="M385" s="167">
        <v>200</v>
      </c>
      <c r="N385" s="166" t="s">
        <v>818</v>
      </c>
    </row>
    <row r="386" spans="1:14" ht="15">
      <c r="A386" s="4" t="s">
        <v>793</v>
      </c>
      <c r="B386" s="4" t="s">
        <v>1897</v>
      </c>
      <c r="C386" s="330" t="s">
        <v>814</v>
      </c>
      <c r="D386" s="331">
        <v>3</v>
      </c>
      <c r="E386" s="331">
        <v>1.7</v>
      </c>
      <c r="F386" s="331">
        <v>1.3</v>
      </c>
      <c r="G386" s="331">
        <v>4.3</v>
      </c>
      <c r="H386" s="331">
        <v>0</v>
      </c>
      <c r="I386" s="331">
        <v>60</v>
      </c>
      <c r="J386" s="165" t="s">
        <v>799</v>
      </c>
      <c r="K386" s="165">
        <v>25.383723</v>
      </c>
      <c r="L386" s="165">
        <v>3</v>
      </c>
      <c r="M386" s="167">
        <v>200</v>
      </c>
      <c r="N386" s="166" t="s">
        <v>818</v>
      </c>
    </row>
    <row r="387" spans="1:14" ht="15">
      <c r="A387" s="4" t="s">
        <v>598</v>
      </c>
      <c r="B387" s="4" t="s">
        <v>1898</v>
      </c>
      <c r="C387" s="330" t="s">
        <v>814</v>
      </c>
      <c r="D387" s="331">
        <v>3.5</v>
      </c>
      <c r="E387" s="331">
        <v>1.7</v>
      </c>
      <c r="F387" s="331">
        <v>1.4</v>
      </c>
      <c r="G387" s="331">
        <v>5</v>
      </c>
      <c r="H387" s="331">
        <v>1</v>
      </c>
      <c r="I387" s="331">
        <v>60</v>
      </c>
      <c r="J387" s="165" t="s">
        <v>799</v>
      </c>
      <c r="K387" s="165">
        <v>19.444444399999998</v>
      </c>
      <c r="L387" s="165">
        <v>3</v>
      </c>
      <c r="M387" s="167">
        <v>200</v>
      </c>
      <c r="N387" s="166" t="s">
        <v>818</v>
      </c>
    </row>
    <row r="388" spans="1:14" ht="15">
      <c r="A388" s="4" t="s">
        <v>602</v>
      </c>
      <c r="B388" s="4" t="s">
        <v>1899</v>
      </c>
      <c r="C388" s="330" t="s">
        <v>814</v>
      </c>
      <c r="D388" s="331">
        <v>4.5</v>
      </c>
      <c r="E388" s="331">
        <v>2.5</v>
      </c>
      <c r="F388" s="331">
        <v>1.8</v>
      </c>
      <c r="G388" s="331">
        <v>7.1</v>
      </c>
      <c r="H388" s="331">
        <v>0</v>
      </c>
      <c r="I388" s="331">
        <v>60</v>
      </c>
      <c r="J388" s="165" t="s">
        <v>799</v>
      </c>
      <c r="K388" s="165">
        <v>22.5</v>
      </c>
      <c r="L388" s="165">
        <v>3</v>
      </c>
      <c r="M388" s="167">
        <v>200</v>
      </c>
      <c r="N388" s="166" t="s">
        <v>818</v>
      </c>
    </row>
    <row r="389" spans="1:14" ht="15">
      <c r="A389" s="4" t="s">
        <v>700</v>
      </c>
      <c r="B389" s="4" t="s">
        <v>1900</v>
      </c>
      <c r="C389" s="330" t="s">
        <v>814</v>
      </c>
      <c r="D389" s="331">
        <v>3.4</v>
      </c>
      <c r="E389" s="331">
        <v>1.9</v>
      </c>
      <c r="F389" s="331">
        <v>1.4</v>
      </c>
      <c r="G389" s="331">
        <v>5.3</v>
      </c>
      <c r="H389" s="331">
        <v>0</v>
      </c>
      <c r="I389" s="331">
        <v>60</v>
      </c>
      <c r="J389" s="165" t="s">
        <v>799</v>
      </c>
      <c r="K389" s="165">
        <v>22.6682135</v>
      </c>
      <c r="L389" s="165">
        <v>3</v>
      </c>
      <c r="M389" s="167">
        <v>200</v>
      </c>
      <c r="N389" s="166" t="s">
        <v>818</v>
      </c>
    </row>
    <row r="390" spans="1:14" ht="15">
      <c r="A390" s="4" t="s">
        <v>565</v>
      </c>
      <c r="B390" s="4" t="s">
        <v>1901</v>
      </c>
      <c r="C390" s="330" t="s">
        <v>814</v>
      </c>
      <c r="D390" s="331">
        <v>3.8</v>
      </c>
      <c r="E390" s="331">
        <v>1.9</v>
      </c>
      <c r="F390" s="331">
        <v>1.5</v>
      </c>
      <c r="G390" s="331">
        <v>5.8</v>
      </c>
      <c r="H390" s="331">
        <v>1</v>
      </c>
      <c r="I390" s="331">
        <v>60</v>
      </c>
      <c r="J390" s="165" t="s">
        <v>799</v>
      </c>
      <c r="K390" s="165">
        <v>17.999755799999999</v>
      </c>
      <c r="L390" s="165">
        <v>3</v>
      </c>
      <c r="M390" s="167">
        <v>200</v>
      </c>
      <c r="N390" s="166" t="s">
        <v>818</v>
      </c>
    </row>
    <row r="391" spans="1:14" ht="15">
      <c r="A391" s="4" t="s">
        <v>606</v>
      </c>
      <c r="B391" s="4" t="s">
        <v>1902</v>
      </c>
      <c r="C391" s="330" t="s">
        <v>814</v>
      </c>
      <c r="D391" s="331">
        <v>4.5</v>
      </c>
      <c r="E391" s="331">
        <v>2.4</v>
      </c>
      <c r="F391" s="331">
        <v>2.1</v>
      </c>
      <c r="G391" s="331">
        <v>5.2</v>
      </c>
      <c r="H391" s="331">
        <v>1.3</v>
      </c>
      <c r="I391" s="331">
        <v>60</v>
      </c>
      <c r="J391" s="165" t="s">
        <v>799</v>
      </c>
      <c r="K391" s="165">
        <v>18.213457099999999</v>
      </c>
      <c r="L391" s="165">
        <v>3</v>
      </c>
      <c r="M391" s="167">
        <v>200</v>
      </c>
      <c r="N391" s="166" t="s">
        <v>818</v>
      </c>
    </row>
    <row r="392" spans="1:14" ht="15">
      <c r="A392" s="4" t="s">
        <v>703</v>
      </c>
      <c r="B392" s="4" t="s">
        <v>1903</v>
      </c>
      <c r="C392" s="330" t="s">
        <v>814</v>
      </c>
      <c r="D392" s="331">
        <v>3.2</v>
      </c>
      <c r="E392" s="331">
        <v>1.9</v>
      </c>
      <c r="F392" s="331">
        <v>1.4</v>
      </c>
      <c r="G392" s="331">
        <v>4</v>
      </c>
      <c r="H392" s="331">
        <v>0.9</v>
      </c>
      <c r="I392" s="331">
        <v>60</v>
      </c>
      <c r="J392" s="165" t="s">
        <v>799</v>
      </c>
      <c r="K392" s="165">
        <v>20.9218276</v>
      </c>
      <c r="L392" s="165">
        <v>3</v>
      </c>
      <c r="M392" s="167">
        <v>200</v>
      </c>
      <c r="N392" s="166" t="s">
        <v>818</v>
      </c>
    </row>
    <row r="393" spans="1:14" ht="15">
      <c r="A393" s="4" t="s">
        <v>639</v>
      </c>
      <c r="B393" s="4" t="s">
        <v>1904</v>
      </c>
      <c r="C393" s="330" t="s">
        <v>814</v>
      </c>
      <c r="D393" s="331">
        <v>3.9</v>
      </c>
      <c r="E393" s="331">
        <v>2.2000000000000002</v>
      </c>
      <c r="F393" s="331">
        <v>1.7</v>
      </c>
      <c r="G393" s="331">
        <v>4.5999999999999996</v>
      </c>
      <c r="H393" s="331">
        <v>1</v>
      </c>
      <c r="I393" s="331">
        <v>60</v>
      </c>
      <c r="J393" s="165" t="s">
        <v>799</v>
      </c>
      <c r="K393" s="165">
        <v>19.499795299999999</v>
      </c>
      <c r="L393" s="165">
        <v>3</v>
      </c>
      <c r="M393" s="167">
        <v>200</v>
      </c>
      <c r="N393" s="166" t="s">
        <v>818</v>
      </c>
    </row>
    <row r="394" spans="1:14" ht="15">
      <c r="A394" s="4" t="s">
        <v>640</v>
      </c>
      <c r="B394" s="4" t="s">
        <v>1905</v>
      </c>
      <c r="C394" s="330" t="s">
        <v>814</v>
      </c>
      <c r="D394" s="331">
        <v>3.5</v>
      </c>
      <c r="E394" s="331">
        <v>2</v>
      </c>
      <c r="F394" s="331">
        <v>1.5</v>
      </c>
      <c r="G394" s="331">
        <v>3.9</v>
      </c>
      <c r="H394" s="331">
        <v>0.8</v>
      </c>
      <c r="I394" s="331">
        <v>60</v>
      </c>
      <c r="J394" s="165" t="s">
        <v>799</v>
      </c>
      <c r="K394" s="165">
        <v>22.165506600000001</v>
      </c>
      <c r="L394" s="165">
        <v>3</v>
      </c>
      <c r="M394" s="167">
        <v>200</v>
      </c>
      <c r="N394" s="166" t="s">
        <v>818</v>
      </c>
    </row>
    <row r="395" spans="1:14" ht="15">
      <c r="A395" s="4" t="s">
        <v>510</v>
      </c>
      <c r="B395" s="4" t="s">
        <v>1906</v>
      </c>
      <c r="C395" s="330" t="s">
        <v>814</v>
      </c>
      <c r="D395" s="331">
        <v>3.1</v>
      </c>
      <c r="E395" s="331">
        <v>2.8</v>
      </c>
      <c r="F395" s="331">
        <v>0.3</v>
      </c>
      <c r="G395" s="331">
        <v>9.1</v>
      </c>
      <c r="H395" s="331">
        <v>0</v>
      </c>
      <c r="I395" s="331">
        <v>90</v>
      </c>
      <c r="J395" s="165" t="s">
        <v>810</v>
      </c>
      <c r="K395" s="165">
        <v>25.8313998</v>
      </c>
      <c r="L395" s="165">
        <v>3</v>
      </c>
      <c r="M395" s="167">
        <v>200</v>
      </c>
      <c r="N395" s="166" t="s">
        <v>818</v>
      </c>
    </row>
    <row r="396" spans="1:14" ht="15">
      <c r="A396" s="4" t="s">
        <v>776</v>
      </c>
      <c r="B396" s="4" t="s">
        <v>1907</v>
      </c>
      <c r="C396" s="330" t="s">
        <v>814</v>
      </c>
      <c r="D396" s="331">
        <v>1.5</v>
      </c>
      <c r="E396" s="331">
        <v>1.1000000000000001</v>
      </c>
      <c r="F396" s="331">
        <v>0.3</v>
      </c>
      <c r="G396" s="331">
        <v>4</v>
      </c>
      <c r="H396" s="331">
        <v>0.3</v>
      </c>
      <c r="I396" s="331">
        <v>90</v>
      </c>
      <c r="J396" s="165" t="s">
        <v>810</v>
      </c>
      <c r="K396" s="165">
        <v>9.3822505799999991</v>
      </c>
      <c r="L396" s="165">
        <v>3</v>
      </c>
      <c r="M396" s="167">
        <v>200</v>
      </c>
      <c r="N396" s="166" t="s">
        <v>818</v>
      </c>
    </row>
    <row r="397" spans="1:14" ht="15">
      <c r="A397" s="4" t="s">
        <v>610</v>
      </c>
      <c r="B397" s="4" t="s">
        <v>1908</v>
      </c>
      <c r="C397" s="330" t="s">
        <v>814</v>
      </c>
      <c r="D397" s="331">
        <v>3</v>
      </c>
      <c r="E397" s="331">
        <v>2.7</v>
      </c>
      <c r="F397" s="331">
        <v>0</v>
      </c>
      <c r="G397" s="331">
        <v>8</v>
      </c>
      <c r="H397" s="331">
        <v>0</v>
      </c>
      <c r="I397" s="331">
        <v>90</v>
      </c>
      <c r="J397" s="165" t="s">
        <v>810</v>
      </c>
      <c r="K397" s="165">
        <v>25</v>
      </c>
      <c r="L397" s="165">
        <v>3</v>
      </c>
      <c r="M397" s="167">
        <v>200</v>
      </c>
      <c r="N397" s="166" t="s">
        <v>818</v>
      </c>
    </row>
    <row r="398" spans="1:14" ht="15">
      <c r="A398" s="4" t="s">
        <v>24</v>
      </c>
      <c r="B398" s="4" t="s">
        <v>1909</v>
      </c>
      <c r="C398" s="330" t="s">
        <v>814</v>
      </c>
      <c r="D398" s="331">
        <v>2.2000000000000002</v>
      </c>
      <c r="E398" s="331">
        <v>1.9</v>
      </c>
      <c r="F398" s="331">
        <v>0.23</v>
      </c>
      <c r="G398" s="331">
        <v>7.83</v>
      </c>
      <c r="H398" s="331">
        <v>0.1</v>
      </c>
      <c r="I398" s="331">
        <v>90</v>
      </c>
      <c r="J398" s="165" t="s">
        <v>810</v>
      </c>
      <c r="K398" s="165">
        <v>29.3310131</v>
      </c>
      <c r="L398" s="165">
        <v>3</v>
      </c>
      <c r="M398" s="167">
        <v>200</v>
      </c>
      <c r="N398" s="166" t="s">
        <v>818</v>
      </c>
    </row>
    <row r="399" spans="1:14" ht="15">
      <c r="A399" s="4" t="s">
        <v>708</v>
      </c>
      <c r="B399" s="4" t="s">
        <v>1910</v>
      </c>
      <c r="C399" s="330" t="s">
        <v>814</v>
      </c>
      <c r="D399" s="331">
        <v>1.7</v>
      </c>
      <c r="E399" s="331">
        <v>1.4</v>
      </c>
      <c r="F399" s="331">
        <v>0.23</v>
      </c>
      <c r="G399" s="331">
        <v>5.54</v>
      </c>
      <c r="H399" s="331">
        <v>0.17</v>
      </c>
      <c r="I399" s="331">
        <v>90</v>
      </c>
      <c r="J399" s="165" t="s">
        <v>810</v>
      </c>
      <c r="K399" s="165">
        <v>31.1678268</v>
      </c>
      <c r="L399" s="165">
        <v>3</v>
      </c>
      <c r="M399" s="167">
        <v>200</v>
      </c>
      <c r="N399" s="166" t="s">
        <v>818</v>
      </c>
    </row>
    <row r="400" spans="1:14" ht="15">
      <c r="A400" s="4" t="s">
        <v>656</v>
      </c>
      <c r="B400" s="4" t="s">
        <v>1911</v>
      </c>
      <c r="C400" s="330" t="s">
        <v>814</v>
      </c>
      <c r="D400" s="331">
        <v>3.2</v>
      </c>
      <c r="E400" s="331">
        <v>3.1</v>
      </c>
      <c r="F400" s="331">
        <v>0</v>
      </c>
      <c r="G400" s="331">
        <v>7.9</v>
      </c>
      <c r="H400" s="331">
        <v>0.2</v>
      </c>
      <c r="I400" s="331">
        <v>90</v>
      </c>
      <c r="J400" s="165" t="s">
        <v>810</v>
      </c>
      <c r="K400" s="165">
        <v>112.006961</v>
      </c>
      <c r="L400" s="165">
        <v>3</v>
      </c>
      <c r="M400" s="167">
        <v>200</v>
      </c>
      <c r="N400" s="166" t="s">
        <v>818</v>
      </c>
    </row>
    <row r="401" spans="1:14" ht="15">
      <c r="A401" s="4" t="s">
        <v>657</v>
      </c>
      <c r="B401" s="4" t="s">
        <v>1912</v>
      </c>
      <c r="C401" s="330" t="s">
        <v>814</v>
      </c>
      <c r="D401" s="331">
        <v>1.06</v>
      </c>
      <c r="E401" s="331">
        <v>0.38</v>
      </c>
      <c r="F401" s="331">
        <v>1.6</v>
      </c>
      <c r="G401" s="331">
        <v>0.61</v>
      </c>
      <c r="H401" s="331">
        <v>0.11</v>
      </c>
      <c r="I401" s="331">
        <v>90</v>
      </c>
      <c r="J401" s="165" t="s">
        <v>810</v>
      </c>
      <c r="K401" s="165">
        <v>25.4793913</v>
      </c>
      <c r="L401" s="165">
        <v>3</v>
      </c>
      <c r="M401" s="167">
        <v>200</v>
      </c>
      <c r="N401" s="166" t="s">
        <v>818</v>
      </c>
    </row>
    <row r="402" spans="1:14" ht="15">
      <c r="A402" s="4" t="s">
        <v>571</v>
      </c>
      <c r="B402" s="4" t="s">
        <v>1913</v>
      </c>
      <c r="C402" s="330" t="s">
        <v>816</v>
      </c>
      <c r="D402" s="331">
        <v>5.6</v>
      </c>
      <c r="E402" s="331">
        <v>0</v>
      </c>
      <c r="F402" s="331">
        <v>2.9</v>
      </c>
      <c r="G402" s="331">
        <v>9.6</v>
      </c>
      <c r="H402" s="331">
        <v>1.7</v>
      </c>
      <c r="I402" s="331">
        <v>25</v>
      </c>
      <c r="J402" s="165" t="s">
        <v>802</v>
      </c>
      <c r="K402" s="165">
        <v>11.99971</v>
      </c>
      <c r="L402" s="165">
        <v>5</v>
      </c>
      <c r="M402" s="167">
        <v>200</v>
      </c>
      <c r="N402" s="166" t="s">
        <v>817</v>
      </c>
    </row>
    <row r="403" spans="1:14" ht="15">
      <c r="A403" s="4" t="s">
        <v>14</v>
      </c>
      <c r="B403" s="4" t="s">
        <v>1914</v>
      </c>
      <c r="C403" s="330" t="s">
        <v>816</v>
      </c>
      <c r="D403" s="331">
        <v>4.79</v>
      </c>
      <c r="E403" s="331">
        <v>0.28000000000000003</v>
      </c>
      <c r="F403" s="331">
        <v>2.75</v>
      </c>
      <c r="G403" s="331">
        <v>8.93</v>
      </c>
      <c r="H403" s="331">
        <v>1.53</v>
      </c>
      <c r="I403" s="331">
        <v>25</v>
      </c>
      <c r="J403" s="165" t="s">
        <v>802</v>
      </c>
      <c r="K403" s="165">
        <v>12.4021895</v>
      </c>
      <c r="L403" s="165">
        <v>5</v>
      </c>
      <c r="M403" s="167">
        <v>200</v>
      </c>
      <c r="N403" s="166" t="s">
        <v>817</v>
      </c>
    </row>
    <row r="404" spans="1:14" ht="15">
      <c r="A404" s="4" t="s">
        <v>572</v>
      </c>
      <c r="B404" s="4" t="s">
        <v>1915</v>
      </c>
      <c r="C404" s="330" t="s">
        <v>816</v>
      </c>
      <c r="D404" s="331">
        <v>5</v>
      </c>
      <c r="E404" s="331">
        <v>0.4</v>
      </c>
      <c r="F404" s="331">
        <v>3</v>
      </c>
      <c r="G404" s="331">
        <v>7</v>
      </c>
      <c r="H404" s="331">
        <v>1.5</v>
      </c>
      <c r="I404" s="331">
        <v>25</v>
      </c>
      <c r="J404" s="165" t="s">
        <v>802</v>
      </c>
      <c r="K404" s="165">
        <v>19.565217400000002</v>
      </c>
      <c r="L404" s="165">
        <v>5</v>
      </c>
      <c r="M404" s="167">
        <v>200</v>
      </c>
      <c r="N404" s="166" t="s">
        <v>817</v>
      </c>
    </row>
    <row r="405" spans="1:14" ht="15">
      <c r="A405" s="4" t="s">
        <v>518</v>
      </c>
      <c r="B405" s="4" t="s">
        <v>1916</v>
      </c>
      <c r="C405" s="330" t="s">
        <v>816</v>
      </c>
      <c r="D405" s="331">
        <v>6.1</v>
      </c>
      <c r="E405" s="331">
        <v>1.2</v>
      </c>
      <c r="F405" s="331">
        <v>3.24</v>
      </c>
      <c r="G405" s="331">
        <v>12.47</v>
      </c>
      <c r="H405" s="331">
        <v>1.33</v>
      </c>
      <c r="I405" s="331">
        <v>25</v>
      </c>
      <c r="J405" s="165" t="s">
        <v>802</v>
      </c>
      <c r="K405" s="165">
        <v>14.9391543</v>
      </c>
      <c r="L405" s="165">
        <v>5</v>
      </c>
      <c r="M405" s="167">
        <v>200</v>
      </c>
      <c r="N405" s="166" t="s">
        <v>817</v>
      </c>
    </row>
    <row r="406" spans="1:14" ht="15">
      <c r="A406" s="4" t="s">
        <v>519</v>
      </c>
      <c r="B406" s="4" t="s">
        <v>1917</v>
      </c>
      <c r="C406" s="330" t="s">
        <v>816</v>
      </c>
      <c r="D406" s="331">
        <v>5</v>
      </c>
      <c r="E406" s="331">
        <v>1</v>
      </c>
      <c r="F406" s="331">
        <v>2.75</v>
      </c>
      <c r="G406" s="331">
        <v>7.95</v>
      </c>
      <c r="H406" s="331">
        <v>1.33</v>
      </c>
      <c r="I406" s="331">
        <v>25</v>
      </c>
      <c r="J406" s="165" t="s">
        <v>802</v>
      </c>
      <c r="K406" s="165">
        <v>18.75</v>
      </c>
      <c r="L406" s="165">
        <v>5</v>
      </c>
      <c r="M406" s="167">
        <v>200</v>
      </c>
      <c r="N406" s="166" t="s">
        <v>817</v>
      </c>
    </row>
    <row r="407" spans="1:14" ht="15">
      <c r="A407" s="4" t="s">
        <v>79</v>
      </c>
      <c r="B407" s="4" t="s">
        <v>1918</v>
      </c>
      <c r="C407" s="330" t="s">
        <v>816</v>
      </c>
      <c r="D407" s="331">
        <v>6.5</v>
      </c>
      <c r="E407" s="331">
        <v>0.6</v>
      </c>
      <c r="F407" s="331">
        <v>4</v>
      </c>
      <c r="G407" s="331">
        <v>11</v>
      </c>
      <c r="H407" s="331">
        <v>0</v>
      </c>
      <c r="I407" s="331">
        <v>25</v>
      </c>
      <c r="J407" s="165" t="s">
        <v>802</v>
      </c>
      <c r="K407" s="165">
        <v>18.728616899999999</v>
      </c>
      <c r="L407" s="165">
        <v>5</v>
      </c>
      <c r="M407" s="169">
        <v>200</v>
      </c>
      <c r="N407" s="169" t="s">
        <v>817</v>
      </c>
    </row>
    <row r="408" spans="1:14" ht="15">
      <c r="A408" s="4" t="s">
        <v>678</v>
      </c>
      <c r="B408" s="4" t="s">
        <v>1919</v>
      </c>
      <c r="C408" s="330" t="s">
        <v>816</v>
      </c>
      <c r="D408" s="331">
        <v>3.43</v>
      </c>
      <c r="E408" s="331">
        <v>0.18</v>
      </c>
      <c r="F408" s="331">
        <v>8.18</v>
      </c>
      <c r="G408" s="331">
        <v>4.16</v>
      </c>
      <c r="H408" s="331">
        <v>1.48</v>
      </c>
      <c r="I408" s="331">
        <v>25</v>
      </c>
      <c r="J408" s="165" t="s">
        <v>802</v>
      </c>
      <c r="K408" s="165">
        <v>18.3919329</v>
      </c>
      <c r="L408" s="165">
        <v>5</v>
      </c>
      <c r="M408" s="169">
        <v>200</v>
      </c>
      <c r="N408" s="169" t="s">
        <v>817</v>
      </c>
    </row>
    <row r="409" spans="1:14" ht="15">
      <c r="A409" s="4" t="s">
        <v>539</v>
      </c>
      <c r="B409" s="4" t="s">
        <v>1920</v>
      </c>
      <c r="C409" s="330" t="s">
        <v>816</v>
      </c>
      <c r="D409" s="331">
        <v>7.3</v>
      </c>
      <c r="E409" s="331">
        <v>0.6</v>
      </c>
      <c r="F409" s="331">
        <v>4.5</v>
      </c>
      <c r="G409" s="331">
        <v>12.8</v>
      </c>
      <c r="H409" s="331">
        <v>0</v>
      </c>
      <c r="I409" s="331">
        <v>25</v>
      </c>
      <c r="J409" s="165" t="s">
        <v>802</v>
      </c>
      <c r="K409" s="165">
        <v>16.343456700000001</v>
      </c>
      <c r="L409" s="165">
        <v>5</v>
      </c>
      <c r="M409" s="169">
        <v>200</v>
      </c>
      <c r="N409" s="169" t="s">
        <v>817</v>
      </c>
    </row>
    <row r="410" spans="1:14" ht="15">
      <c r="A410" s="4" t="s">
        <v>535</v>
      </c>
      <c r="B410" s="4" t="s">
        <v>1921</v>
      </c>
      <c r="C410" s="330" t="s">
        <v>816</v>
      </c>
      <c r="D410" s="331">
        <v>5</v>
      </c>
      <c r="E410" s="331">
        <v>0.8</v>
      </c>
      <c r="F410" s="331">
        <v>4.3</v>
      </c>
      <c r="G410" s="331">
        <v>6.9</v>
      </c>
      <c r="H410" s="331">
        <v>2</v>
      </c>
      <c r="I410" s="331">
        <v>25</v>
      </c>
      <c r="J410" s="165" t="s">
        <v>802</v>
      </c>
      <c r="K410" s="165">
        <v>20.2380952</v>
      </c>
      <c r="L410" s="165">
        <v>5</v>
      </c>
      <c r="M410" s="169">
        <v>200</v>
      </c>
      <c r="N410" s="169" t="s">
        <v>817</v>
      </c>
    </row>
    <row r="411" spans="1:14" ht="15">
      <c r="A411" s="4" t="s">
        <v>361</v>
      </c>
      <c r="B411" s="4" t="s">
        <v>1922</v>
      </c>
      <c r="C411" s="330" t="s">
        <v>816</v>
      </c>
      <c r="D411" s="331">
        <v>5.2</v>
      </c>
      <c r="E411" s="331">
        <v>0.8</v>
      </c>
      <c r="F411" s="331">
        <v>2.7</v>
      </c>
      <c r="G411" s="331">
        <v>10</v>
      </c>
      <c r="H411" s="331">
        <v>2.2000000000000002</v>
      </c>
      <c r="I411" s="331">
        <v>25</v>
      </c>
      <c r="J411" s="165" t="s">
        <v>802</v>
      </c>
      <c r="K411" s="165">
        <v>17.7270091</v>
      </c>
      <c r="L411" s="165">
        <v>5</v>
      </c>
      <c r="M411" s="169">
        <v>200</v>
      </c>
      <c r="N411" s="169" t="s">
        <v>817</v>
      </c>
    </row>
    <row r="412" spans="1:14" ht="15">
      <c r="A412" s="4" t="s">
        <v>573</v>
      </c>
      <c r="B412" s="4" t="s">
        <v>1923</v>
      </c>
      <c r="C412" s="330" t="s">
        <v>816</v>
      </c>
      <c r="D412" s="331">
        <v>51.96</v>
      </c>
      <c r="E412" s="331">
        <v>0</v>
      </c>
      <c r="F412" s="331">
        <v>20.440000000000001</v>
      </c>
      <c r="G412" s="331">
        <v>12.61</v>
      </c>
      <c r="H412" s="331">
        <v>6.19</v>
      </c>
      <c r="I412" s="331">
        <v>30</v>
      </c>
      <c r="J412" s="165" t="s">
        <v>1105</v>
      </c>
      <c r="K412" s="165">
        <v>8.1262313099999997</v>
      </c>
      <c r="L412" s="165">
        <v>5</v>
      </c>
      <c r="M412" s="167">
        <v>50</v>
      </c>
      <c r="N412" s="166" t="s">
        <v>817</v>
      </c>
    </row>
    <row r="413" spans="1:14" ht="15">
      <c r="A413" s="4" t="s">
        <v>709</v>
      </c>
      <c r="B413" s="4" t="s">
        <v>1924</v>
      </c>
      <c r="C413" s="330" t="s">
        <v>816</v>
      </c>
      <c r="D413" s="331">
        <v>54</v>
      </c>
      <c r="E413" s="331">
        <v>0</v>
      </c>
      <c r="F413" s="331">
        <v>20.62</v>
      </c>
      <c r="G413" s="331">
        <v>12.05</v>
      </c>
      <c r="H413" s="331">
        <v>0</v>
      </c>
      <c r="I413" s="331">
        <v>30</v>
      </c>
      <c r="J413" s="165" t="s">
        <v>1105</v>
      </c>
      <c r="K413" s="165">
        <v>6.99997852</v>
      </c>
      <c r="L413" s="165">
        <v>5</v>
      </c>
      <c r="M413" s="167">
        <v>50</v>
      </c>
      <c r="N413" s="166" t="s">
        <v>817</v>
      </c>
    </row>
    <row r="414" spans="1:14" ht="15">
      <c r="A414" s="4" t="s">
        <v>526</v>
      </c>
      <c r="B414" s="4" t="s">
        <v>1925</v>
      </c>
      <c r="C414" s="330" t="s">
        <v>816</v>
      </c>
      <c r="D414" s="331">
        <v>5</v>
      </c>
      <c r="E414" s="331">
        <v>0</v>
      </c>
      <c r="F414" s="331">
        <v>3</v>
      </c>
      <c r="G414" s="331">
        <v>20</v>
      </c>
      <c r="H414" s="331">
        <v>2</v>
      </c>
      <c r="I414" s="331"/>
      <c r="J414" s="165" t="s">
        <v>1105</v>
      </c>
      <c r="K414" s="165">
        <v>80</v>
      </c>
      <c r="L414" s="165">
        <v>4.93</v>
      </c>
      <c r="M414" s="167">
        <v>200</v>
      </c>
      <c r="N414" s="166" t="s">
        <v>817</v>
      </c>
    </row>
    <row r="415" spans="1:14" ht="15">
      <c r="A415" s="4" t="s">
        <v>661</v>
      </c>
      <c r="B415" s="4" t="s">
        <v>1926</v>
      </c>
      <c r="C415" s="330" t="s">
        <v>816</v>
      </c>
      <c r="D415" s="331">
        <v>0.5</v>
      </c>
      <c r="E415" s="331">
        <v>0</v>
      </c>
      <c r="F415" s="331">
        <v>0.2</v>
      </c>
      <c r="G415" s="331">
        <v>0.5</v>
      </c>
      <c r="H415" s="331">
        <v>0.4</v>
      </c>
      <c r="I415" s="331"/>
      <c r="J415" s="165" t="s">
        <v>1105</v>
      </c>
      <c r="K415" s="165">
        <v>500</v>
      </c>
      <c r="L415" s="165">
        <v>3.58</v>
      </c>
      <c r="M415" s="167">
        <v>600</v>
      </c>
      <c r="N415" s="166" t="s">
        <v>817</v>
      </c>
    </row>
    <row r="416" spans="1:14" ht="15">
      <c r="A416" s="4" t="s">
        <v>662</v>
      </c>
      <c r="B416" s="4" t="s">
        <v>362</v>
      </c>
      <c r="C416" s="330" t="s">
        <v>816</v>
      </c>
      <c r="D416" s="331">
        <v>12.7</v>
      </c>
      <c r="E416" s="331">
        <v>0.32</v>
      </c>
      <c r="F416" s="331">
        <v>0</v>
      </c>
      <c r="G416" s="331">
        <v>104</v>
      </c>
      <c r="H416" s="331">
        <v>122</v>
      </c>
      <c r="I416" s="331"/>
      <c r="J416" s="165" t="s">
        <v>1105</v>
      </c>
      <c r="K416" s="165">
        <v>22.489682899999998</v>
      </c>
      <c r="L416" s="165">
        <v>3</v>
      </c>
      <c r="M416" s="167">
        <v>25</v>
      </c>
      <c r="N416" s="166" t="s">
        <v>817</v>
      </c>
    </row>
    <row r="417" spans="1:14" ht="15">
      <c r="A417" s="4" t="s">
        <v>792</v>
      </c>
      <c r="B417" s="4" t="s">
        <v>1927</v>
      </c>
      <c r="C417" s="330" t="s">
        <v>816</v>
      </c>
      <c r="D417" s="331">
        <v>5.5</v>
      </c>
      <c r="E417" s="331">
        <v>0.5</v>
      </c>
      <c r="F417" s="331">
        <v>3.2</v>
      </c>
      <c r="G417" s="331">
        <v>13.3</v>
      </c>
      <c r="H417" s="331">
        <v>0</v>
      </c>
      <c r="I417" s="331">
        <v>25</v>
      </c>
      <c r="J417" s="165" t="s">
        <v>804</v>
      </c>
      <c r="K417" s="165">
        <v>22</v>
      </c>
      <c r="L417" s="165">
        <v>4.8099999999999996</v>
      </c>
      <c r="M417" s="167">
        <v>200</v>
      </c>
      <c r="N417" s="166" t="s">
        <v>817</v>
      </c>
    </row>
    <row r="418" spans="1:14" ht="15">
      <c r="A418" s="4" t="s">
        <v>618</v>
      </c>
      <c r="B418" s="4" t="s">
        <v>1928</v>
      </c>
      <c r="C418" s="330" t="s">
        <v>816</v>
      </c>
      <c r="D418" s="331">
        <v>8</v>
      </c>
      <c r="E418" s="331">
        <v>0.6</v>
      </c>
      <c r="F418" s="331">
        <v>3</v>
      </c>
      <c r="G418" s="331">
        <v>7</v>
      </c>
      <c r="H418" s="331">
        <v>2</v>
      </c>
      <c r="I418" s="331">
        <v>25</v>
      </c>
      <c r="J418" s="165" t="s">
        <v>804</v>
      </c>
      <c r="K418" s="165">
        <v>16.216216200000002</v>
      </c>
      <c r="L418" s="165">
        <v>4.8099999999999996</v>
      </c>
      <c r="M418" s="167">
        <v>200</v>
      </c>
      <c r="N418" s="166" t="s">
        <v>817</v>
      </c>
    </row>
    <row r="419" spans="1:14" ht="15">
      <c r="A419" s="4" t="s">
        <v>80</v>
      </c>
      <c r="B419" s="4" t="s">
        <v>1929</v>
      </c>
      <c r="C419" s="330" t="s">
        <v>816</v>
      </c>
      <c r="D419" s="331">
        <v>4.7</v>
      </c>
      <c r="E419" s="331">
        <v>0.5</v>
      </c>
      <c r="F419" s="331">
        <v>2.8</v>
      </c>
      <c r="G419" s="331">
        <v>11.1</v>
      </c>
      <c r="H419" s="331">
        <v>3.2</v>
      </c>
      <c r="I419" s="331">
        <v>25</v>
      </c>
      <c r="J419" s="165" t="s">
        <v>804</v>
      </c>
      <c r="K419" s="165">
        <v>17.9047619</v>
      </c>
      <c r="L419" s="165">
        <v>4.8099999999999996</v>
      </c>
      <c r="M419" s="169">
        <v>200</v>
      </c>
      <c r="N419" s="169" t="s">
        <v>817</v>
      </c>
    </row>
    <row r="420" spans="1:14" ht="15">
      <c r="A420" s="4" t="s">
        <v>542</v>
      </c>
      <c r="B420" s="4" t="s">
        <v>1930</v>
      </c>
      <c r="C420" s="330" t="s">
        <v>816</v>
      </c>
      <c r="D420" s="331">
        <v>9</v>
      </c>
      <c r="E420" s="331">
        <v>2.7</v>
      </c>
      <c r="F420" s="331">
        <v>5.39</v>
      </c>
      <c r="G420" s="331">
        <v>19.46</v>
      </c>
      <c r="H420" s="331">
        <v>1.83</v>
      </c>
      <c r="I420" s="331">
        <v>25</v>
      </c>
      <c r="J420" s="165" t="s">
        <v>804</v>
      </c>
      <c r="K420" s="165">
        <v>18.571612699999999</v>
      </c>
      <c r="L420" s="165">
        <v>4.8099999999999996</v>
      </c>
      <c r="M420" s="169">
        <v>200</v>
      </c>
      <c r="N420" s="169" t="s">
        <v>817</v>
      </c>
    </row>
    <row r="421" spans="1:14" ht="15">
      <c r="A421" s="4" t="s">
        <v>543</v>
      </c>
      <c r="B421" s="4" t="s">
        <v>1931</v>
      </c>
      <c r="C421" s="330" t="s">
        <v>816</v>
      </c>
      <c r="D421" s="331">
        <v>8</v>
      </c>
      <c r="E421" s="331">
        <v>2.4</v>
      </c>
      <c r="F421" s="331">
        <v>5.04</v>
      </c>
      <c r="G421" s="331">
        <v>13.86</v>
      </c>
      <c r="H421" s="331">
        <v>1.82</v>
      </c>
      <c r="I421" s="331">
        <v>25</v>
      </c>
      <c r="J421" s="165" t="s">
        <v>804</v>
      </c>
      <c r="K421" s="165">
        <v>18.5718429</v>
      </c>
      <c r="L421" s="165">
        <v>4.8099999999999996</v>
      </c>
      <c r="M421" s="169">
        <v>200</v>
      </c>
      <c r="N421" s="169" t="s">
        <v>817</v>
      </c>
    </row>
    <row r="422" spans="1:14" ht="15">
      <c r="A422" s="4" t="s">
        <v>55</v>
      </c>
      <c r="B422" s="4" t="s">
        <v>1932</v>
      </c>
      <c r="C422" s="330" t="s">
        <v>816</v>
      </c>
      <c r="D422" s="331">
        <v>5.84</v>
      </c>
      <c r="E422" s="331">
        <v>0.39</v>
      </c>
      <c r="F422" s="331">
        <v>10.98</v>
      </c>
      <c r="G422" s="331">
        <v>5.59</v>
      </c>
      <c r="H422" s="331">
        <v>1.99</v>
      </c>
      <c r="I422" s="331">
        <v>25</v>
      </c>
      <c r="J422" s="165" t="s">
        <v>804</v>
      </c>
      <c r="K422" s="165">
        <v>21.955554599999999</v>
      </c>
      <c r="L422" s="165">
        <v>4.8099999999999996</v>
      </c>
      <c r="M422" s="169">
        <v>200</v>
      </c>
      <c r="N422" s="169" t="s">
        <v>817</v>
      </c>
    </row>
    <row r="423" spans="1:14" ht="15">
      <c r="A423" s="4" t="s">
        <v>64</v>
      </c>
      <c r="B423" s="4" t="s">
        <v>1933</v>
      </c>
      <c r="C423" s="330" t="s">
        <v>816</v>
      </c>
      <c r="D423" s="331">
        <v>10</v>
      </c>
      <c r="E423" s="331">
        <v>0</v>
      </c>
      <c r="F423" s="331">
        <v>6.9</v>
      </c>
      <c r="G423" s="331">
        <v>13.6</v>
      </c>
      <c r="H423" s="331">
        <v>3.4</v>
      </c>
      <c r="I423" s="331">
        <v>25</v>
      </c>
      <c r="J423" s="165" t="s">
        <v>804</v>
      </c>
      <c r="K423" s="165">
        <v>13</v>
      </c>
      <c r="L423" s="165">
        <v>4.8099999999999996</v>
      </c>
      <c r="M423" s="169">
        <v>200</v>
      </c>
      <c r="N423" s="169" t="s">
        <v>817</v>
      </c>
    </row>
    <row r="424" spans="1:14" ht="15">
      <c r="A424" s="4" t="s">
        <v>73</v>
      </c>
      <c r="B424" s="4" t="s">
        <v>1934</v>
      </c>
      <c r="C424" s="330" t="s">
        <v>816</v>
      </c>
      <c r="D424" s="331">
        <v>103.62</v>
      </c>
      <c r="E424" s="331">
        <v>0</v>
      </c>
      <c r="F424" s="331">
        <v>0.65</v>
      </c>
      <c r="G424" s="331">
        <v>0.79</v>
      </c>
      <c r="H424" s="331">
        <v>0.31</v>
      </c>
      <c r="I424" s="331">
        <v>70</v>
      </c>
      <c r="J424" s="165" t="s">
        <v>1105</v>
      </c>
      <c r="K424" s="165">
        <v>2.6363506499999998</v>
      </c>
      <c r="L424" s="165">
        <v>2</v>
      </c>
      <c r="M424" s="169">
        <v>10</v>
      </c>
      <c r="N424" s="169" t="s">
        <v>817</v>
      </c>
    </row>
    <row r="425" spans="1:14" ht="15">
      <c r="A425" s="4" t="s">
        <v>81</v>
      </c>
      <c r="B425" s="4" t="s">
        <v>1935</v>
      </c>
      <c r="C425" s="330" t="s">
        <v>816</v>
      </c>
      <c r="D425" s="331">
        <v>10</v>
      </c>
      <c r="E425" s="331">
        <v>0</v>
      </c>
      <c r="F425" s="331">
        <v>3</v>
      </c>
      <c r="G425" s="331">
        <v>1</v>
      </c>
      <c r="H425" s="331">
        <v>1</v>
      </c>
      <c r="I425" s="331">
        <v>70</v>
      </c>
      <c r="J425" s="165" t="s">
        <v>1105</v>
      </c>
      <c r="K425" s="165">
        <v>10</v>
      </c>
      <c r="L425" s="165">
        <v>3</v>
      </c>
      <c r="M425" s="169">
        <v>20</v>
      </c>
      <c r="N425" s="169" t="s">
        <v>817</v>
      </c>
    </row>
    <row r="426" spans="1:14" ht="15">
      <c r="A426" s="4" t="s">
        <v>584</v>
      </c>
      <c r="B426" s="4" t="s">
        <v>1936</v>
      </c>
      <c r="C426" s="330" t="s">
        <v>816</v>
      </c>
      <c r="D426" s="331">
        <v>5</v>
      </c>
      <c r="E426" s="331">
        <v>0</v>
      </c>
      <c r="F426" s="331">
        <v>3</v>
      </c>
      <c r="G426" s="331">
        <v>5</v>
      </c>
      <c r="H426" s="331">
        <v>2</v>
      </c>
      <c r="I426" s="331">
        <v>70</v>
      </c>
      <c r="J426" s="165" t="s">
        <v>1105</v>
      </c>
      <c r="K426" s="165">
        <v>10</v>
      </c>
      <c r="L426" s="165">
        <v>3</v>
      </c>
      <c r="M426" s="169">
        <v>20</v>
      </c>
      <c r="N426" s="169" t="s">
        <v>817</v>
      </c>
    </row>
    <row r="427" spans="1:14" ht="15">
      <c r="A427" s="4" t="s">
        <v>532</v>
      </c>
      <c r="B427" s="4" t="s">
        <v>1937</v>
      </c>
      <c r="C427" s="330" t="s">
        <v>814</v>
      </c>
      <c r="D427" s="331">
        <v>2.99</v>
      </c>
      <c r="E427" s="331">
        <v>0.04</v>
      </c>
      <c r="F427" s="331">
        <v>1.42</v>
      </c>
      <c r="G427" s="331">
        <v>1.35</v>
      </c>
      <c r="H427" s="331">
        <v>0.34</v>
      </c>
      <c r="I427" s="331">
        <v>30</v>
      </c>
      <c r="J427" s="165" t="s">
        <v>1105</v>
      </c>
      <c r="K427" s="165">
        <v>7.5091431000000002</v>
      </c>
      <c r="L427" s="165">
        <v>3</v>
      </c>
      <c r="M427" s="169">
        <v>25</v>
      </c>
      <c r="N427" s="169" t="s">
        <v>818</v>
      </c>
    </row>
    <row r="428" spans="1:14" ht="15">
      <c r="A428" s="4" t="s">
        <v>585</v>
      </c>
      <c r="B428" s="4" t="s">
        <v>1938</v>
      </c>
      <c r="C428" s="330" t="s">
        <v>814</v>
      </c>
      <c r="D428" s="331">
        <v>2.61</v>
      </c>
      <c r="E428" s="331">
        <v>7.0000000000000007E-2</v>
      </c>
      <c r="F428" s="331">
        <v>0.73</v>
      </c>
      <c r="G428" s="331">
        <v>4.0199999999999996</v>
      </c>
      <c r="H428" s="331">
        <v>0.42</v>
      </c>
      <c r="I428" s="331">
        <v>30</v>
      </c>
      <c r="J428" s="165" t="s">
        <v>1105</v>
      </c>
      <c r="K428" s="165">
        <v>10.545883</v>
      </c>
      <c r="L428" s="165">
        <v>3</v>
      </c>
      <c r="M428" s="169">
        <v>25</v>
      </c>
      <c r="N428" s="169" t="s">
        <v>818</v>
      </c>
    </row>
    <row r="429" spans="1:14" ht="15">
      <c r="A429" s="4" t="s">
        <v>583</v>
      </c>
      <c r="B429" s="4" t="s">
        <v>1939</v>
      </c>
      <c r="C429" s="330" t="s">
        <v>814</v>
      </c>
      <c r="D429" s="331">
        <v>2.57</v>
      </c>
      <c r="E429" s="331">
        <v>0</v>
      </c>
      <c r="F429" s="331">
        <v>0.92</v>
      </c>
      <c r="G429" s="331">
        <v>0.62</v>
      </c>
      <c r="H429" s="331">
        <v>0.45</v>
      </c>
      <c r="I429" s="331">
        <v>30</v>
      </c>
      <c r="J429" s="165" t="s">
        <v>1105</v>
      </c>
      <c r="K429" s="165">
        <v>10.0165212</v>
      </c>
      <c r="L429" s="165">
        <v>3</v>
      </c>
      <c r="M429" s="169">
        <v>25</v>
      </c>
      <c r="N429" s="169" t="s">
        <v>818</v>
      </c>
    </row>
    <row r="430" spans="1:14" ht="15">
      <c r="A430" s="4" t="s">
        <v>94</v>
      </c>
      <c r="B430" s="4" t="s">
        <v>1940</v>
      </c>
      <c r="C430" s="330" t="s">
        <v>814</v>
      </c>
      <c r="D430" s="331">
        <v>2.75</v>
      </c>
      <c r="E430" s="331">
        <v>0.05</v>
      </c>
      <c r="F430" s="331">
        <v>0.98</v>
      </c>
      <c r="G430" s="331">
        <v>0.34</v>
      </c>
      <c r="H430" s="331">
        <v>0.33</v>
      </c>
      <c r="I430" s="331">
        <v>30</v>
      </c>
      <c r="J430" s="165" t="s">
        <v>1105</v>
      </c>
      <c r="K430" s="165">
        <v>8.4751224500000006</v>
      </c>
      <c r="L430" s="165">
        <v>3</v>
      </c>
      <c r="M430" s="169">
        <v>25</v>
      </c>
      <c r="N430" s="169" t="s">
        <v>818</v>
      </c>
    </row>
    <row r="431" spans="1:14" ht="15">
      <c r="A431" s="4" t="s">
        <v>635</v>
      </c>
      <c r="B431" s="4" t="s">
        <v>1941</v>
      </c>
      <c r="C431" s="330" t="s">
        <v>814</v>
      </c>
      <c r="D431" s="331">
        <v>4.8</v>
      </c>
      <c r="E431" s="331">
        <v>0</v>
      </c>
      <c r="F431" s="331">
        <v>0.7</v>
      </c>
      <c r="G431" s="331">
        <v>4.2</v>
      </c>
      <c r="H431" s="331">
        <v>0</v>
      </c>
      <c r="I431" s="331">
        <v>30</v>
      </c>
      <c r="J431" s="165" t="s">
        <v>1105</v>
      </c>
      <c r="K431" s="165">
        <v>5.9998549900000002</v>
      </c>
      <c r="L431" s="165">
        <v>3</v>
      </c>
      <c r="M431" s="167">
        <v>25</v>
      </c>
      <c r="N431" s="166" t="s">
        <v>818</v>
      </c>
    </row>
    <row r="432" spans="1:14" ht="15">
      <c r="A432" s="4" t="s">
        <v>636</v>
      </c>
      <c r="B432" s="4" t="s">
        <v>1942</v>
      </c>
      <c r="C432" s="330" t="s">
        <v>814</v>
      </c>
      <c r="D432" s="331">
        <v>2.8</v>
      </c>
      <c r="E432" s="331">
        <v>0</v>
      </c>
      <c r="F432" s="331">
        <v>1.1000000000000001</v>
      </c>
      <c r="G432" s="331">
        <v>4.8</v>
      </c>
      <c r="H432" s="331">
        <v>0.5</v>
      </c>
      <c r="I432" s="331">
        <v>30</v>
      </c>
      <c r="J432" s="165" t="s">
        <v>1105</v>
      </c>
      <c r="K432" s="165">
        <v>9.3221743499999992</v>
      </c>
      <c r="L432" s="165">
        <v>3</v>
      </c>
      <c r="M432" s="167">
        <v>25</v>
      </c>
      <c r="N432" s="166" t="s">
        <v>818</v>
      </c>
    </row>
    <row r="433" spans="1:14" ht="15">
      <c r="A433" s="4" t="s">
        <v>625</v>
      </c>
      <c r="B433" s="4" t="s">
        <v>1943</v>
      </c>
      <c r="C433" s="330" t="s">
        <v>814</v>
      </c>
      <c r="D433" s="331">
        <v>3.6</v>
      </c>
      <c r="E433" s="331">
        <v>0</v>
      </c>
      <c r="F433" s="331">
        <v>0.7</v>
      </c>
      <c r="G433" s="331">
        <v>4.2</v>
      </c>
      <c r="H433" s="331">
        <v>0</v>
      </c>
      <c r="I433" s="331">
        <v>30</v>
      </c>
      <c r="J433" s="165" t="s">
        <v>1105</v>
      </c>
      <c r="K433" s="165">
        <v>7.99980665</v>
      </c>
      <c r="L433" s="165">
        <v>3</v>
      </c>
      <c r="M433" s="167">
        <v>25</v>
      </c>
      <c r="N433" s="166" t="s">
        <v>818</v>
      </c>
    </row>
    <row r="434" spans="1:14" ht="15">
      <c r="A434" s="4" t="s">
        <v>626</v>
      </c>
      <c r="B434" s="4" t="s">
        <v>1944</v>
      </c>
      <c r="C434" s="330" t="s">
        <v>814</v>
      </c>
      <c r="D434" s="331">
        <v>1.8</v>
      </c>
      <c r="E434" s="331">
        <v>0</v>
      </c>
      <c r="F434" s="331">
        <v>0.2</v>
      </c>
      <c r="G434" s="331">
        <v>2.1</v>
      </c>
      <c r="H434" s="331">
        <v>0</v>
      </c>
      <c r="I434" s="331">
        <v>30</v>
      </c>
      <c r="J434" s="165" t="s">
        <v>1105</v>
      </c>
      <c r="K434" s="165">
        <v>7.4987110100000001</v>
      </c>
      <c r="L434" s="165">
        <v>3</v>
      </c>
      <c r="M434" s="167">
        <v>25</v>
      </c>
      <c r="N434" s="166" t="s">
        <v>818</v>
      </c>
    </row>
    <row r="435" spans="1:14" ht="15">
      <c r="A435" s="4" t="s">
        <v>631</v>
      </c>
      <c r="B435" s="4" t="s">
        <v>1945</v>
      </c>
      <c r="C435" s="330" t="s">
        <v>816</v>
      </c>
      <c r="D435" s="331">
        <v>25.3</v>
      </c>
      <c r="E435" s="331">
        <v>0.26</v>
      </c>
      <c r="F435" s="331">
        <v>22.43</v>
      </c>
      <c r="G435" s="331">
        <v>5.36</v>
      </c>
      <c r="H435" s="331">
        <v>1.95</v>
      </c>
      <c r="I435" s="331">
        <v>30</v>
      </c>
      <c r="J435" s="165" t="s">
        <v>1105</v>
      </c>
      <c r="K435" s="165">
        <v>13.0623948</v>
      </c>
      <c r="L435" s="165">
        <v>9.6199999999999992</v>
      </c>
      <c r="M435" s="167">
        <v>50</v>
      </c>
      <c r="N435" s="166" t="s">
        <v>817</v>
      </c>
    </row>
    <row r="436" spans="1:14" ht="15">
      <c r="A436" s="4" t="s">
        <v>632</v>
      </c>
      <c r="B436" s="4" t="s">
        <v>1946</v>
      </c>
      <c r="C436" s="330" t="s">
        <v>814</v>
      </c>
      <c r="D436" s="331">
        <v>11.3</v>
      </c>
      <c r="E436" s="331">
        <v>7.4</v>
      </c>
      <c r="F436" s="331">
        <v>7.74</v>
      </c>
      <c r="G436" s="331">
        <v>7.59</v>
      </c>
      <c r="H436" s="331">
        <v>1.49</v>
      </c>
      <c r="I436" s="331">
        <v>70</v>
      </c>
      <c r="J436" s="165" t="s">
        <v>800</v>
      </c>
      <c r="K436" s="165">
        <v>14.487774399999999</v>
      </c>
      <c r="L436" s="165">
        <v>3</v>
      </c>
      <c r="M436" s="167">
        <v>200</v>
      </c>
      <c r="N436" s="166" t="s">
        <v>818</v>
      </c>
    </row>
    <row r="437" spans="1:14" ht="15">
      <c r="A437" s="4" t="s">
        <v>698</v>
      </c>
      <c r="B437" s="4" t="s">
        <v>1947</v>
      </c>
      <c r="C437" s="330" t="s">
        <v>814</v>
      </c>
      <c r="D437" s="331">
        <v>7</v>
      </c>
      <c r="E437" s="331">
        <v>4.5999999999999996</v>
      </c>
      <c r="F437" s="331">
        <v>6.87</v>
      </c>
      <c r="G437" s="331">
        <v>3.37</v>
      </c>
      <c r="H437" s="331">
        <v>1.1599999999999999</v>
      </c>
      <c r="I437" s="331">
        <v>70</v>
      </c>
      <c r="J437" s="165" t="s">
        <v>800</v>
      </c>
      <c r="K437" s="165">
        <v>14.5833333</v>
      </c>
      <c r="L437" s="165">
        <v>3</v>
      </c>
      <c r="M437" s="167">
        <v>200</v>
      </c>
      <c r="N437" s="166" t="s">
        <v>818</v>
      </c>
    </row>
    <row r="438" spans="1:14" ht="15">
      <c r="A438" s="4" t="s">
        <v>696</v>
      </c>
      <c r="B438" s="4" t="s">
        <v>1948</v>
      </c>
      <c r="C438" s="330" t="s">
        <v>814</v>
      </c>
      <c r="D438" s="331">
        <v>3.8</v>
      </c>
      <c r="E438" s="331">
        <v>2.5</v>
      </c>
      <c r="F438" s="331">
        <v>2.58</v>
      </c>
      <c r="G438" s="331">
        <v>2.5299999999999998</v>
      </c>
      <c r="H438" s="331">
        <v>0.5</v>
      </c>
      <c r="I438" s="331">
        <v>70</v>
      </c>
      <c r="J438" s="165" t="s">
        <v>800</v>
      </c>
      <c r="K438" s="165">
        <v>14.0326611</v>
      </c>
      <c r="L438" s="165">
        <v>3</v>
      </c>
      <c r="M438" s="167">
        <v>200</v>
      </c>
      <c r="N438" s="166" t="s">
        <v>818</v>
      </c>
    </row>
    <row r="439" spans="1:14" ht="15">
      <c r="A439" s="4" t="s">
        <v>596</v>
      </c>
      <c r="B439" s="4" t="s">
        <v>1949</v>
      </c>
      <c r="C439" s="330" t="s">
        <v>814</v>
      </c>
      <c r="D439" s="331">
        <v>2.2999999999999998</v>
      </c>
      <c r="E439" s="331">
        <v>1.5</v>
      </c>
      <c r="F439" s="331">
        <v>2.29</v>
      </c>
      <c r="G439" s="331">
        <v>1.45</v>
      </c>
      <c r="H439" s="331">
        <v>0.33</v>
      </c>
      <c r="I439" s="331">
        <v>70</v>
      </c>
      <c r="J439" s="165" t="s">
        <v>800</v>
      </c>
      <c r="K439" s="165">
        <v>22.9988399</v>
      </c>
      <c r="L439" s="165">
        <v>3</v>
      </c>
      <c r="M439" s="167">
        <v>200</v>
      </c>
      <c r="N439" s="166" t="s">
        <v>818</v>
      </c>
    </row>
    <row r="440" spans="1:14" ht="15">
      <c r="A440" s="4" t="s">
        <v>592</v>
      </c>
      <c r="B440" s="4" t="s">
        <v>1950</v>
      </c>
      <c r="C440" s="330" t="s">
        <v>814</v>
      </c>
      <c r="D440" s="331">
        <v>7.5</v>
      </c>
      <c r="E440" s="331">
        <v>4.9000000000000004</v>
      </c>
      <c r="F440" s="331">
        <v>5.16</v>
      </c>
      <c r="G440" s="331">
        <v>5.0599999999999996</v>
      </c>
      <c r="H440" s="331">
        <v>0.83</v>
      </c>
      <c r="I440" s="331">
        <v>70</v>
      </c>
      <c r="J440" s="165" t="s">
        <v>800</v>
      </c>
      <c r="K440" s="165">
        <v>13.845261499999999</v>
      </c>
      <c r="L440" s="165">
        <v>3</v>
      </c>
      <c r="M440" s="167">
        <v>200</v>
      </c>
      <c r="N440" s="166" t="s">
        <v>818</v>
      </c>
    </row>
    <row r="441" spans="1:14" ht="15">
      <c r="A441" s="4" t="s">
        <v>17</v>
      </c>
      <c r="B441" s="4" t="s">
        <v>1951</v>
      </c>
      <c r="C441" s="330" t="s">
        <v>814</v>
      </c>
      <c r="D441" s="331">
        <v>4.5999999999999996</v>
      </c>
      <c r="E441" s="331">
        <v>3</v>
      </c>
      <c r="F441" s="331">
        <v>2.75</v>
      </c>
      <c r="G441" s="331">
        <v>1.93</v>
      </c>
      <c r="H441" s="331">
        <v>0.83</v>
      </c>
      <c r="I441" s="331">
        <v>70</v>
      </c>
      <c r="J441" s="165" t="s">
        <v>800</v>
      </c>
      <c r="K441" s="165">
        <v>22.9988399</v>
      </c>
      <c r="L441" s="165">
        <v>3</v>
      </c>
      <c r="M441" s="167">
        <v>200</v>
      </c>
      <c r="N441" s="166" t="s">
        <v>818</v>
      </c>
    </row>
    <row r="442" spans="1:14" ht="15">
      <c r="A442" s="4" t="s">
        <v>597</v>
      </c>
      <c r="B442" s="4" t="s">
        <v>1952</v>
      </c>
      <c r="C442" s="330" t="s">
        <v>814</v>
      </c>
      <c r="D442" s="331">
        <v>4.4000000000000004</v>
      </c>
      <c r="E442" s="331">
        <v>3.3</v>
      </c>
      <c r="F442" s="331">
        <v>2.5</v>
      </c>
      <c r="G442" s="331">
        <v>3</v>
      </c>
      <c r="H442" s="331">
        <v>0.9</v>
      </c>
      <c r="I442" s="331">
        <v>70</v>
      </c>
      <c r="J442" s="165" t="s">
        <v>800</v>
      </c>
      <c r="K442" s="165">
        <v>18.002531099999999</v>
      </c>
      <c r="L442" s="165">
        <v>3</v>
      </c>
      <c r="M442" s="167">
        <v>200</v>
      </c>
      <c r="N442" s="166" t="s">
        <v>818</v>
      </c>
    </row>
    <row r="443" spans="1:14" ht="15">
      <c r="A443" s="4" t="s">
        <v>601</v>
      </c>
      <c r="B443" s="4" t="s">
        <v>1953</v>
      </c>
      <c r="C443" s="330" t="s">
        <v>814</v>
      </c>
      <c r="D443" s="331">
        <v>2.5</v>
      </c>
      <c r="E443" s="331">
        <v>2.1</v>
      </c>
      <c r="F443" s="331">
        <v>0.8</v>
      </c>
      <c r="G443" s="331">
        <v>1.8</v>
      </c>
      <c r="H443" s="331">
        <v>0.3</v>
      </c>
      <c r="I443" s="331">
        <v>70</v>
      </c>
      <c r="J443" s="165" t="s">
        <v>800</v>
      </c>
      <c r="K443" s="165">
        <v>17.401392099999999</v>
      </c>
      <c r="L443" s="165">
        <v>3</v>
      </c>
      <c r="M443" s="167">
        <v>200</v>
      </c>
      <c r="N443" s="166" t="s">
        <v>818</v>
      </c>
    </row>
    <row r="444" spans="1:14" ht="15">
      <c r="A444" s="4" t="s">
        <v>504</v>
      </c>
      <c r="B444" s="4" t="s">
        <v>1954</v>
      </c>
      <c r="C444" s="330" t="s">
        <v>814</v>
      </c>
      <c r="D444" s="331">
        <v>4.5</v>
      </c>
      <c r="E444" s="331">
        <v>3.2</v>
      </c>
      <c r="F444" s="331">
        <v>2.4</v>
      </c>
      <c r="G444" s="331">
        <v>3.1</v>
      </c>
      <c r="H444" s="331">
        <v>1.1000000000000001</v>
      </c>
      <c r="I444" s="331">
        <v>70</v>
      </c>
      <c r="J444" s="165" t="s">
        <v>800</v>
      </c>
      <c r="K444" s="165">
        <v>17.307692299999999</v>
      </c>
      <c r="L444" s="165">
        <v>3</v>
      </c>
      <c r="M444" s="167">
        <v>200</v>
      </c>
      <c r="N444" s="166" t="s">
        <v>818</v>
      </c>
    </row>
    <row r="445" spans="1:14" ht="15">
      <c r="A445" s="4" t="s">
        <v>505</v>
      </c>
      <c r="B445" s="4" t="s">
        <v>1955</v>
      </c>
      <c r="C445" s="330" t="s">
        <v>814</v>
      </c>
      <c r="D445" s="331">
        <v>4.3</v>
      </c>
      <c r="E445" s="331">
        <v>3.5</v>
      </c>
      <c r="F445" s="331">
        <v>1.7</v>
      </c>
      <c r="G445" s="331">
        <v>3.4</v>
      </c>
      <c r="H445" s="331">
        <v>0.8</v>
      </c>
      <c r="I445" s="331">
        <v>70</v>
      </c>
      <c r="J445" s="165" t="s">
        <v>800</v>
      </c>
      <c r="K445" s="165">
        <v>18.815255199999999</v>
      </c>
      <c r="L445" s="165">
        <v>3</v>
      </c>
      <c r="M445" s="167">
        <v>200</v>
      </c>
      <c r="N445" s="166" t="s">
        <v>818</v>
      </c>
    </row>
    <row r="446" spans="1:14" ht="15">
      <c r="A446" s="4" t="s">
        <v>547</v>
      </c>
      <c r="B446" s="4" t="s">
        <v>1956</v>
      </c>
      <c r="C446" s="330" t="s">
        <v>814</v>
      </c>
      <c r="D446" s="331">
        <v>1</v>
      </c>
      <c r="E446" s="331">
        <v>0.5</v>
      </c>
      <c r="F446" s="331">
        <v>1.81</v>
      </c>
      <c r="G446" s="331">
        <v>0.49</v>
      </c>
      <c r="H446" s="331">
        <v>0.09</v>
      </c>
      <c r="I446" s="331">
        <v>70</v>
      </c>
      <c r="J446" s="165" t="s">
        <v>800</v>
      </c>
      <c r="K446" s="165">
        <v>32.552204199999998</v>
      </c>
      <c r="L446" s="165">
        <v>3</v>
      </c>
      <c r="M446" s="167">
        <v>200</v>
      </c>
      <c r="N446" s="166" t="s">
        <v>818</v>
      </c>
    </row>
    <row r="447" spans="1:14" ht="15">
      <c r="A447" s="4" t="s">
        <v>556</v>
      </c>
      <c r="B447" s="4" t="s">
        <v>1957</v>
      </c>
      <c r="C447" s="330" t="s">
        <v>814</v>
      </c>
      <c r="D447" s="331">
        <v>5.5</v>
      </c>
      <c r="E447" s="331">
        <v>4.2</v>
      </c>
      <c r="F447" s="331">
        <v>2.8</v>
      </c>
      <c r="G447" s="331">
        <v>3.9</v>
      </c>
      <c r="H447" s="331">
        <v>1.2</v>
      </c>
      <c r="I447" s="331">
        <v>70</v>
      </c>
      <c r="J447" s="165" t="s">
        <v>800</v>
      </c>
      <c r="K447" s="165">
        <v>14.8090309</v>
      </c>
      <c r="L447" s="165">
        <v>3</v>
      </c>
      <c r="M447" s="167">
        <v>200</v>
      </c>
      <c r="N447" s="166" t="s">
        <v>818</v>
      </c>
    </row>
    <row r="448" spans="1:14" ht="15">
      <c r="A448" s="4" t="s">
        <v>548</v>
      </c>
      <c r="B448" s="4" t="s">
        <v>1958</v>
      </c>
      <c r="C448" s="330" t="s">
        <v>814</v>
      </c>
      <c r="D448" s="331">
        <v>6.5</v>
      </c>
      <c r="E448" s="331">
        <v>4.7</v>
      </c>
      <c r="F448" s="331">
        <v>3.9</v>
      </c>
      <c r="G448" s="331">
        <v>4.5</v>
      </c>
      <c r="H448" s="331">
        <v>1.8</v>
      </c>
      <c r="I448" s="331">
        <v>70</v>
      </c>
      <c r="J448" s="165" t="s">
        <v>800</v>
      </c>
      <c r="K448" s="165">
        <v>12.638566600000001</v>
      </c>
      <c r="L448" s="165">
        <v>3</v>
      </c>
      <c r="M448" s="167">
        <v>200</v>
      </c>
      <c r="N448" s="166" t="s">
        <v>818</v>
      </c>
    </row>
    <row r="449" spans="1:14" ht="15">
      <c r="A449" s="4" t="s">
        <v>557</v>
      </c>
      <c r="B449" s="4" t="s">
        <v>1959</v>
      </c>
      <c r="C449" s="330" t="s">
        <v>814</v>
      </c>
      <c r="D449" s="331">
        <v>3.3</v>
      </c>
      <c r="E449" s="331">
        <v>2.2999999999999998</v>
      </c>
      <c r="F449" s="331">
        <v>2.1</v>
      </c>
      <c r="G449" s="331">
        <v>2.5</v>
      </c>
      <c r="H449" s="331">
        <v>1.8</v>
      </c>
      <c r="I449" s="331">
        <v>70</v>
      </c>
      <c r="J449" s="165" t="s">
        <v>800</v>
      </c>
      <c r="K449" s="165">
        <v>23.097447800000001</v>
      </c>
      <c r="L449" s="165">
        <v>3</v>
      </c>
      <c r="M449" s="167">
        <v>200</v>
      </c>
      <c r="N449" s="166" t="s">
        <v>818</v>
      </c>
    </row>
    <row r="450" spans="1:14" ht="15">
      <c r="A450" s="4" t="s">
        <v>697</v>
      </c>
      <c r="B450" s="4" t="s">
        <v>1960</v>
      </c>
      <c r="C450" s="330" t="s">
        <v>814</v>
      </c>
      <c r="D450" s="331">
        <v>3.8</v>
      </c>
      <c r="E450" s="331">
        <v>2.7</v>
      </c>
      <c r="F450" s="331">
        <v>2.5</v>
      </c>
      <c r="G450" s="331">
        <v>2.5</v>
      </c>
      <c r="H450" s="331">
        <v>1.8</v>
      </c>
      <c r="I450" s="331">
        <v>70</v>
      </c>
      <c r="J450" s="165" t="s">
        <v>800</v>
      </c>
      <c r="K450" s="165">
        <v>20.728749199999999</v>
      </c>
      <c r="L450" s="165">
        <v>3</v>
      </c>
      <c r="M450" s="167">
        <v>200</v>
      </c>
      <c r="N450" s="166" t="s">
        <v>818</v>
      </c>
    </row>
    <row r="451" spans="1:14" ht="15">
      <c r="A451" s="4" t="s">
        <v>591</v>
      </c>
      <c r="B451" s="4" t="s">
        <v>1961</v>
      </c>
      <c r="C451" s="330" t="s">
        <v>814</v>
      </c>
      <c r="D451" s="331">
        <v>3.3</v>
      </c>
      <c r="E451" s="331">
        <v>2.2999999999999998</v>
      </c>
      <c r="F451" s="331">
        <v>2</v>
      </c>
      <c r="G451" s="331">
        <v>2.4</v>
      </c>
      <c r="H451" s="331">
        <v>0</v>
      </c>
      <c r="I451" s="331">
        <v>70</v>
      </c>
      <c r="J451" s="165" t="s">
        <v>800</v>
      </c>
      <c r="K451" s="165">
        <v>23.097447800000001</v>
      </c>
      <c r="L451" s="165">
        <v>3</v>
      </c>
      <c r="M451" s="167">
        <v>200</v>
      </c>
      <c r="N451" s="166" t="s">
        <v>818</v>
      </c>
    </row>
    <row r="452" spans="1:14" ht="15">
      <c r="A452" s="4" t="s">
        <v>595</v>
      </c>
      <c r="B452" s="4" t="s">
        <v>1962</v>
      </c>
      <c r="C452" s="330" t="s">
        <v>814</v>
      </c>
      <c r="D452" s="331">
        <v>4.9000000000000004</v>
      </c>
      <c r="E452" s="331">
        <v>3.4</v>
      </c>
      <c r="F452" s="331">
        <v>3</v>
      </c>
      <c r="G452" s="331">
        <v>3.6</v>
      </c>
      <c r="H452" s="331">
        <v>0</v>
      </c>
      <c r="I452" s="331">
        <v>70</v>
      </c>
      <c r="J452" s="165" t="s">
        <v>800</v>
      </c>
      <c r="K452" s="165">
        <v>22.865429200000001</v>
      </c>
      <c r="L452" s="165">
        <v>3</v>
      </c>
      <c r="M452" s="167">
        <v>200</v>
      </c>
      <c r="N452" s="166" t="s">
        <v>818</v>
      </c>
    </row>
    <row r="453" spans="1:14" ht="15">
      <c r="A453" s="4" t="s">
        <v>516</v>
      </c>
      <c r="B453" s="4" t="s">
        <v>1963</v>
      </c>
      <c r="C453" s="330" t="s">
        <v>814</v>
      </c>
      <c r="D453" s="331">
        <v>3.7</v>
      </c>
      <c r="E453" s="331">
        <v>2.6</v>
      </c>
      <c r="F453" s="331">
        <v>2.4</v>
      </c>
      <c r="G453" s="331">
        <v>2.5</v>
      </c>
      <c r="H453" s="331">
        <v>0</v>
      </c>
      <c r="I453" s="331">
        <v>70</v>
      </c>
      <c r="J453" s="165" t="s">
        <v>800</v>
      </c>
      <c r="K453" s="165">
        <v>20.1803417</v>
      </c>
      <c r="L453" s="165">
        <v>3</v>
      </c>
      <c r="M453" s="167">
        <v>200</v>
      </c>
      <c r="N453" s="166" t="s">
        <v>818</v>
      </c>
    </row>
    <row r="454" spans="1:14" ht="15">
      <c r="A454" s="4" t="s">
        <v>517</v>
      </c>
      <c r="B454" s="4" t="s">
        <v>1964</v>
      </c>
      <c r="C454" s="330" t="s">
        <v>814</v>
      </c>
      <c r="D454" s="331">
        <v>5.6</v>
      </c>
      <c r="E454" s="331">
        <v>3.9</v>
      </c>
      <c r="F454" s="331">
        <v>3.7</v>
      </c>
      <c r="G454" s="331">
        <v>3.7</v>
      </c>
      <c r="H454" s="331">
        <v>0</v>
      </c>
      <c r="I454" s="331">
        <v>70</v>
      </c>
      <c r="J454" s="165" t="s">
        <v>800</v>
      </c>
      <c r="K454" s="165">
        <v>19.7659342</v>
      </c>
      <c r="L454" s="165">
        <v>3</v>
      </c>
      <c r="M454" s="167">
        <v>200</v>
      </c>
      <c r="N454" s="166" t="s">
        <v>818</v>
      </c>
    </row>
    <row r="455" spans="1:14" ht="15">
      <c r="A455" s="4" t="s">
        <v>549</v>
      </c>
      <c r="B455" s="4" t="s">
        <v>1965</v>
      </c>
      <c r="C455" s="330" t="s">
        <v>814</v>
      </c>
      <c r="D455" s="331">
        <v>3.6</v>
      </c>
      <c r="E455" s="331">
        <v>2.8</v>
      </c>
      <c r="F455" s="331">
        <v>1.7</v>
      </c>
      <c r="G455" s="331">
        <v>2.4</v>
      </c>
      <c r="H455" s="331">
        <v>0.6</v>
      </c>
      <c r="I455" s="331">
        <v>70</v>
      </c>
      <c r="J455" s="165" t="s">
        <v>800</v>
      </c>
      <c r="K455" s="165">
        <v>15.748259900000001</v>
      </c>
      <c r="L455" s="165">
        <v>3</v>
      </c>
      <c r="M455" s="167">
        <v>200</v>
      </c>
      <c r="N455" s="166" t="s">
        <v>818</v>
      </c>
    </row>
    <row r="456" spans="1:14" ht="15">
      <c r="A456" s="4" t="s">
        <v>558</v>
      </c>
      <c r="B456" s="4" t="s">
        <v>1966</v>
      </c>
      <c r="C456" s="330" t="s">
        <v>814</v>
      </c>
      <c r="D456" s="331">
        <v>2.8</v>
      </c>
      <c r="E456" s="331">
        <v>2.2000000000000002</v>
      </c>
      <c r="F456" s="331">
        <v>1.2</v>
      </c>
      <c r="G456" s="331">
        <v>2.1</v>
      </c>
      <c r="H456" s="331">
        <v>0.6</v>
      </c>
      <c r="I456" s="331">
        <v>70</v>
      </c>
      <c r="J456" s="165" t="s">
        <v>800</v>
      </c>
      <c r="K456" s="165">
        <v>16.337973699999999</v>
      </c>
      <c r="L456" s="165">
        <v>3</v>
      </c>
      <c r="M456" s="167">
        <v>200</v>
      </c>
      <c r="N456" s="166" t="s">
        <v>818</v>
      </c>
    </row>
    <row r="457" spans="1:14" ht="15">
      <c r="A457" s="4" t="s">
        <v>550</v>
      </c>
      <c r="B457" s="4" t="s">
        <v>1967</v>
      </c>
      <c r="C457" s="330" t="s">
        <v>814</v>
      </c>
      <c r="D457" s="331">
        <v>3.9</v>
      </c>
      <c r="E457" s="331">
        <v>3</v>
      </c>
      <c r="F457" s="331">
        <v>2.2999999999999998</v>
      </c>
      <c r="G457" s="331">
        <v>2.5</v>
      </c>
      <c r="H457" s="331">
        <v>1</v>
      </c>
      <c r="I457" s="331">
        <v>70</v>
      </c>
      <c r="J457" s="165" t="s">
        <v>800</v>
      </c>
      <c r="K457" s="165">
        <v>15.164991000000001</v>
      </c>
      <c r="L457" s="165">
        <v>3</v>
      </c>
      <c r="M457" s="167">
        <v>200</v>
      </c>
      <c r="N457" s="166" t="s">
        <v>818</v>
      </c>
    </row>
    <row r="458" spans="1:14" ht="15">
      <c r="A458" s="4" t="s">
        <v>559</v>
      </c>
      <c r="B458" s="4" t="s">
        <v>1968</v>
      </c>
      <c r="C458" s="330" t="s">
        <v>814</v>
      </c>
      <c r="D458" s="331">
        <v>3.7</v>
      </c>
      <c r="E458" s="331">
        <v>2.6</v>
      </c>
      <c r="F458" s="331">
        <v>2.4</v>
      </c>
      <c r="G458" s="331">
        <v>2.4</v>
      </c>
      <c r="H458" s="331">
        <v>1.8</v>
      </c>
      <c r="I458" s="331">
        <v>70</v>
      </c>
      <c r="J458" s="165" t="s">
        <v>800</v>
      </c>
      <c r="K458" s="165">
        <v>20.1803417</v>
      </c>
      <c r="L458" s="165">
        <v>3</v>
      </c>
      <c r="M458" s="167">
        <v>200</v>
      </c>
      <c r="N458" s="166" t="s">
        <v>818</v>
      </c>
    </row>
    <row r="459" spans="1:14" ht="15">
      <c r="A459" s="4" t="s">
        <v>509</v>
      </c>
      <c r="B459" s="4" t="s">
        <v>1969</v>
      </c>
      <c r="C459" s="330" t="s">
        <v>814</v>
      </c>
      <c r="D459" s="331">
        <v>3.9</v>
      </c>
      <c r="E459" s="331">
        <v>2.7</v>
      </c>
      <c r="F459" s="331">
        <v>2.9</v>
      </c>
      <c r="G459" s="331">
        <v>2.6</v>
      </c>
      <c r="H459" s="331">
        <v>1.8</v>
      </c>
      <c r="I459" s="331">
        <v>70</v>
      </c>
      <c r="J459" s="165" t="s">
        <v>800</v>
      </c>
      <c r="K459" s="165">
        <v>19.4992266</v>
      </c>
      <c r="L459" s="165">
        <v>3</v>
      </c>
      <c r="M459" s="167">
        <v>200</v>
      </c>
      <c r="N459" s="166" t="s">
        <v>818</v>
      </c>
    </row>
    <row r="460" spans="1:14" ht="15">
      <c r="A460" s="4" t="s">
        <v>605</v>
      </c>
      <c r="B460" s="4" t="s">
        <v>1970</v>
      </c>
      <c r="C460" s="330" t="s">
        <v>814</v>
      </c>
      <c r="D460" s="331">
        <v>4.4000000000000004</v>
      </c>
      <c r="E460" s="331">
        <v>3.1</v>
      </c>
      <c r="F460" s="331">
        <v>2.8</v>
      </c>
      <c r="G460" s="331">
        <v>2.9</v>
      </c>
      <c r="H460" s="331">
        <v>0</v>
      </c>
      <c r="I460" s="331">
        <v>70</v>
      </c>
      <c r="J460" s="165" t="s">
        <v>800</v>
      </c>
      <c r="K460" s="165">
        <v>16.9239693</v>
      </c>
      <c r="L460" s="165">
        <v>3</v>
      </c>
      <c r="M460" s="167">
        <v>200</v>
      </c>
      <c r="N460" s="166" t="s">
        <v>818</v>
      </c>
    </row>
    <row r="461" spans="1:14" ht="15">
      <c r="A461" s="4" t="s">
        <v>704</v>
      </c>
      <c r="B461" s="4" t="s">
        <v>1971</v>
      </c>
      <c r="C461" s="330" t="s">
        <v>814</v>
      </c>
      <c r="D461" s="331">
        <v>6.7</v>
      </c>
      <c r="E461" s="331">
        <v>4.7</v>
      </c>
      <c r="F461" s="331">
        <v>4.2</v>
      </c>
      <c r="G461" s="331">
        <v>4.4000000000000004</v>
      </c>
      <c r="H461" s="331">
        <v>0</v>
      </c>
      <c r="I461" s="331">
        <v>70</v>
      </c>
      <c r="J461" s="165" t="s">
        <v>800</v>
      </c>
      <c r="K461" s="165">
        <v>16.7488399</v>
      </c>
      <c r="L461" s="165">
        <v>3</v>
      </c>
      <c r="M461" s="167">
        <v>200</v>
      </c>
      <c r="N461" s="166" t="s">
        <v>818</v>
      </c>
    </row>
    <row r="462" spans="1:14" ht="15">
      <c r="A462" s="4" t="s">
        <v>641</v>
      </c>
      <c r="B462" s="4" t="s">
        <v>1972</v>
      </c>
      <c r="C462" s="330" t="s">
        <v>814</v>
      </c>
      <c r="D462" s="331">
        <v>5.2</v>
      </c>
      <c r="E462" s="331">
        <v>3.6</v>
      </c>
      <c r="F462" s="331">
        <v>3.8</v>
      </c>
      <c r="G462" s="331">
        <v>3.6</v>
      </c>
      <c r="H462" s="331">
        <v>0</v>
      </c>
      <c r="I462" s="331">
        <v>70</v>
      </c>
      <c r="J462" s="165" t="s">
        <v>800</v>
      </c>
      <c r="K462" s="165">
        <v>16.2485499</v>
      </c>
      <c r="L462" s="165">
        <v>3</v>
      </c>
      <c r="M462" s="167">
        <v>200</v>
      </c>
      <c r="N462" s="166" t="s">
        <v>818</v>
      </c>
    </row>
    <row r="463" spans="1:14" ht="15">
      <c r="A463" s="4" t="s">
        <v>642</v>
      </c>
      <c r="B463" s="4" t="s">
        <v>1973</v>
      </c>
      <c r="C463" s="330" t="s">
        <v>814</v>
      </c>
      <c r="D463" s="331">
        <v>7.9</v>
      </c>
      <c r="E463" s="331">
        <v>5.5</v>
      </c>
      <c r="F463" s="331">
        <v>5.7</v>
      </c>
      <c r="G463" s="331">
        <v>5.4</v>
      </c>
      <c r="H463" s="331">
        <v>0</v>
      </c>
      <c r="I463" s="331">
        <v>70</v>
      </c>
      <c r="J463" s="165" t="s">
        <v>800</v>
      </c>
      <c r="K463" s="165">
        <v>16.4588167</v>
      </c>
      <c r="L463" s="165">
        <v>3</v>
      </c>
      <c r="M463" s="167">
        <v>200</v>
      </c>
      <c r="N463" s="166" t="s">
        <v>818</v>
      </c>
    </row>
    <row r="464" spans="1:14" ht="15">
      <c r="A464" s="4" t="s">
        <v>796</v>
      </c>
      <c r="B464" s="4" t="s">
        <v>1974</v>
      </c>
      <c r="C464" s="330" t="s">
        <v>814</v>
      </c>
      <c r="D464" s="331">
        <v>3.3</v>
      </c>
      <c r="E464" s="331">
        <v>3.1</v>
      </c>
      <c r="F464" s="331">
        <v>0</v>
      </c>
      <c r="G464" s="331">
        <v>3.1</v>
      </c>
      <c r="H464" s="331">
        <v>0.2</v>
      </c>
      <c r="I464" s="331">
        <v>90</v>
      </c>
      <c r="J464" s="165" t="s">
        <v>811</v>
      </c>
      <c r="K464" s="165">
        <v>49.506960599999999</v>
      </c>
      <c r="L464" s="165">
        <v>3</v>
      </c>
      <c r="M464" s="167">
        <v>200</v>
      </c>
      <c r="N464" s="166" t="s">
        <v>818</v>
      </c>
    </row>
    <row r="465" spans="1:14" ht="15">
      <c r="A465" s="4" t="s">
        <v>566</v>
      </c>
      <c r="B465" s="4" t="s">
        <v>1975</v>
      </c>
      <c r="C465" s="330" t="s">
        <v>814</v>
      </c>
      <c r="D465" s="331">
        <v>2.4</v>
      </c>
      <c r="E465" s="331">
        <v>2</v>
      </c>
      <c r="F465" s="331">
        <v>0.8</v>
      </c>
      <c r="G465" s="331">
        <v>2.6</v>
      </c>
      <c r="H465" s="331">
        <v>0.4</v>
      </c>
      <c r="I465" s="331">
        <v>90</v>
      </c>
      <c r="J465" s="165" t="s">
        <v>811</v>
      </c>
      <c r="K465" s="165">
        <v>17.995939700000001</v>
      </c>
      <c r="L465" s="165">
        <v>3</v>
      </c>
      <c r="M465" s="167">
        <v>200</v>
      </c>
      <c r="N465" s="166" t="s">
        <v>818</v>
      </c>
    </row>
    <row r="466" spans="1:14" ht="15">
      <c r="A466" s="4" t="s">
        <v>611</v>
      </c>
      <c r="B466" s="4" t="s">
        <v>1976</v>
      </c>
      <c r="C466" s="330" t="s">
        <v>814</v>
      </c>
      <c r="D466" s="331">
        <v>4</v>
      </c>
      <c r="E466" s="331">
        <v>3.6</v>
      </c>
      <c r="F466" s="331">
        <v>1</v>
      </c>
      <c r="G466" s="331">
        <v>3</v>
      </c>
      <c r="H466" s="331">
        <v>0</v>
      </c>
      <c r="I466" s="331">
        <v>90</v>
      </c>
      <c r="J466" s="165" t="s">
        <v>811</v>
      </c>
      <c r="K466" s="165">
        <v>26.102088200000001</v>
      </c>
      <c r="L466" s="165">
        <v>3</v>
      </c>
      <c r="M466" s="167">
        <v>200</v>
      </c>
      <c r="N466" s="166" t="s">
        <v>818</v>
      </c>
    </row>
    <row r="467" spans="1:14" ht="15">
      <c r="A467" s="4" t="s">
        <v>706</v>
      </c>
      <c r="B467" s="4" t="s">
        <v>1977</v>
      </c>
      <c r="C467" s="330" t="s">
        <v>814</v>
      </c>
      <c r="D467" s="331">
        <v>2.5</v>
      </c>
      <c r="E467" s="331">
        <v>2.2000000000000002</v>
      </c>
      <c r="F467" s="331">
        <v>0.92</v>
      </c>
      <c r="G467" s="331">
        <v>3.61</v>
      </c>
      <c r="H467" s="331">
        <v>0.13</v>
      </c>
      <c r="I467" s="331">
        <v>90</v>
      </c>
      <c r="J467" s="165" t="s">
        <v>811</v>
      </c>
      <c r="K467" s="165">
        <v>33.3333333</v>
      </c>
      <c r="L467" s="165">
        <v>3</v>
      </c>
      <c r="M467" s="167">
        <v>200</v>
      </c>
      <c r="N467" s="166" t="s">
        <v>818</v>
      </c>
    </row>
    <row r="468" spans="1:14" ht="15">
      <c r="A468" s="4" t="s">
        <v>520</v>
      </c>
      <c r="B468" s="4" t="s">
        <v>1978</v>
      </c>
      <c r="C468" s="330" t="s">
        <v>814</v>
      </c>
      <c r="D468" s="331">
        <v>2.2999999999999998</v>
      </c>
      <c r="E468" s="331">
        <v>2.1</v>
      </c>
      <c r="F468" s="331">
        <v>0.92</v>
      </c>
      <c r="G468" s="331">
        <v>3.62</v>
      </c>
      <c r="H468" s="331">
        <v>0.17</v>
      </c>
      <c r="I468" s="331">
        <v>90</v>
      </c>
      <c r="J468" s="165" t="s">
        <v>811</v>
      </c>
      <c r="K468" s="165">
        <v>45.9976798</v>
      </c>
      <c r="L468" s="165">
        <v>3</v>
      </c>
      <c r="M468" s="167">
        <v>200</v>
      </c>
      <c r="N468" s="166" t="s">
        <v>818</v>
      </c>
    </row>
    <row r="469" spans="1:14" ht="15">
      <c r="A469" s="4" t="s">
        <v>658</v>
      </c>
      <c r="B469" s="4" t="s">
        <v>1979</v>
      </c>
      <c r="C469" s="330" t="s">
        <v>814</v>
      </c>
      <c r="D469" s="331">
        <v>0.59</v>
      </c>
      <c r="E469" s="331">
        <v>0.2</v>
      </c>
      <c r="F469" s="331">
        <v>1.06</v>
      </c>
      <c r="G469" s="331">
        <v>0.28999999999999998</v>
      </c>
      <c r="H469" s="331">
        <v>0.05</v>
      </c>
      <c r="I469" s="331">
        <v>90</v>
      </c>
      <c r="J469" s="165" t="s">
        <v>811</v>
      </c>
      <c r="K469" s="165">
        <v>24.555297800000002</v>
      </c>
      <c r="L469" s="165">
        <v>3</v>
      </c>
      <c r="M469" s="167">
        <v>25</v>
      </c>
      <c r="N469" s="166" t="s">
        <v>818</v>
      </c>
    </row>
    <row r="470" spans="1:14" ht="15">
      <c r="A470" s="4" t="s">
        <v>659</v>
      </c>
      <c r="B470" s="4" t="s">
        <v>1980</v>
      </c>
      <c r="C470" s="330" t="s">
        <v>814</v>
      </c>
      <c r="D470" s="331">
        <v>2.6</v>
      </c>
      <c r="E470" s="331">
        <v>2.5</v>
      </c>
      <c r="F470" s="331">
        <v>0.5</v>
      </c>
      <c r="G470" s="331">
        <v>4.8</v>
      </c>
      <c r="H470" s="331">
        <v>0</v>
      </c>
      <c r="I470" s="331">
        <v>90</v>
      </c>
      <c r="J470" s="165" t="s">
        <v>811</v>
      </c>
      <c r="K470" s="165">
        <v>78.016241300000004</v>
      </c>
      <c r="L470" s="165">
        <v>3</v>
      </c>
      <c r="M470" s="167">
        <v>200</v>
      </c>
      <c r="N470" s="166" t="s">
        <v>818</v>
      </c>
    </row>
    <row r="471" spans="1:14" ht="15">
      <c r="A471" s="4" t="s">
        <v>15</v>
      </c>
      <c r="B471" s="4" t="s">
        <v>1981</v>
      </c>
      <c r="C471" s="330" t="s">
        <v>816</v>
      </c>
      <c r="D471" s="331">
        <v>7.4</v>
      </c>
      <c r="E471" s="331">
        <v>0</v>
      </c>
      <c r="F471" s="331">
        <v>6.5</v>
      </c>
      <c r="G471" s="331">
        <v>7.4</v>
      </c>
      <c r="H471" s="331">
        <v>2.7</v>
      </c>
      <c r="I471" s="331">
        <v>30</v>
      </c>
      <c r="J471" s="165" t="s">
        <v>805</v>
      </c>
      <c r="K471" s="165">
        <v>8.5000313500000004</v>
      </c>
      <c r="L471" s="165">
        <v>2.15</v>
      </c>
      <c r="M471" s="167">
        <v>200</v>
      </c>
      <c r="N471" s="166" t="s">
        <v>817</v>
      </c>
    </row>
    <row r="472" spans="1:14" ht="15">
      <c r="A472" s="4" t="s">
        <v>83</v>
      </c>
      <c r="B472" s="4" t="s">
        <v>1982</v>
      </c>
      <c r="C472" s="330" t="s">
        <v>816</v>
      </c>
      <c r="D472" s="331">
        <v>6</v>
      </c>
      <c r="E472" s="331">
        <v>0.5</v>
      </c>
      <c r="F472" s="331">
        <v>4</v>
      </c>
      <c r="G472" s="331">
        <v>3</v>
      </c>
      <c r="H472" s="331">
        <v>2</v>
      </c>
      <c r="I472" s="331">
        <v>30</v>
      </c>
      <c r="J472" s="165" t="s">
        <v>805</v>
      </c>
      <c r="K472" s="165">
        <v>16.363636400000001</v>
      </c>
      <c r="L472" s="165">
        <v>2.15</v>
      </c>
      <c r="M472" s="167">
        <v>200</v>
      </c>
      <c r="N472" s="166" t="s">
        <v>817</v>
      </c>
    </row>
    <row r="473" spans="1:14" ht="15">
      <c r="A473" s="4" t="s">
        <v>574</v>
      </c>
      <c r="B473" s="4" t="s">
        <v>1983</v>
      </c>
      <c r="C473" s="330" t="s">
        <v>816</v>
      </c>
      <c r="D473" s="331">
        <v>6</v>
      </c>
      <c r="E473" s="331">
        <v>0.9</v>
      </c>
      <c r="F473" s="331">
        <v>6.5</v>
      </c>
      <c r="G473" s="331">
        <v>6.5</v>
      </c>
      <c r="H473" s="331">
        <v>3</v>
      </c>
      <c r="I473" s="331">
        <v>30</v>
      </c>
      <c r="J473" s="165" t="s">
        <v>805</v>
      </c>
      <c r="K473" s="165">
        <v>17.6470588</v>
      </c>
      <c r="L473" s="165">
        <v>2.15</v>
      </c>
      <c r="M473" s="167">
        <v>200</v>
      </c>
      <c r="N473" s="166" t="s">
        <v>817</v>
      </c>
    </row>
    <row r="474" spans="1:14" ht="15">
      <c r="A474" s="4" t="s">
        <v>575</v>
      </c>
      <c r="B474" s="4" t="s">
        <v>1984</v>
      </c>
      <c r="C474" s="330" t="s">
        <v>816</v>
      </c>
      <c r="D474" s="331">
        <v>7.1</v>
      </c>
      <c r="E474" s="331">
        <v>1.8</v>
      </c>
      <c r="F474" s="331">
        <v>5.39</v>
      </c>
      <c r="G474" s="331">
        <v>6.49</v>
      </c>
      <c r="H474" s="331">
        <v>2.16</v>
      </c>
      <c r="I474" s="331">
        <v>30</v>
      </c>
      <c r="J474" s="165" t="s">
        <v>805</v>
      </c>
      <c r="K474" s="165">
        <v>13.395788599999999</v>
      </c>
      <c r="L474" s="165">
        <v>2.15</v>
      </c>
      <c r="M474" s="167">
        <v>200</v>
      </c>
      <c r="N474" s="166" t="s">
        <v>817</v>
      </c>
    </row>
    <row r="475" spans="1:14" ht="15">
      <c r="A475" s="4" t="s">
        <v>84</v>
      </c>
      <c r="B475" s="4" t="s">
        <v>1985</v>
      </c>
      <c r="C475" s="330" t="s">
        <v>816</v>
      </c>
      <c r="D475" s="331">
        <v>6.1</v>
      </c>
      <c r="E475" s="331">
        <v>1.5</v>
      </c>
      <c r="F475" s="331">
        <v>5.73</v>
      </c>
      <c r="G475" s="331">
        <v>6.03</v>
      </c>
      <c r="H475" s="331">
        <v>1.99</v>
      </c>
      <c r="I475" s="331">
        <v>30</v>
      </c>
      <c r="J475" s="165" t="s">
        <v>805</v>
      </c>
      <c r="K475" s="165">
        <v>15.913447</v>
      </c>
      <c r="L475" s="165">
        <v>2.15</v>
      </c>
      <c r="M475" s="169">
        <v>200</v>
      </c>
      <c r="N475" s="169" t="s">
        <v>817</v>
      </c>
    </row>
    <row r="476" spans="1:14" ht="15">
      <c r="A476" s="4" t="s">
        <v>474</v>
      </c>
      <c r="B476" s="4" t="s">
        <v>1986</v>
      </c>
      <c r="C476" s="330" t="s">
        <v>816</v>
      </c>
      <c r="D476" s="331">
        <v>6.28</v>
      </c>
      <c r="E476" s="331">
        <v>0.86</v>
      </c>
      <c r="F476" s="331">
        <v>5.9</v>
      </c>
      <c r="G476" s="331">
        <v>2.2599999999999998</v>
      </c>
      <c r="H476" s="331">
        <v>2.92</v>
      </c>
      <c r="I476" s="331">
        <v>30</v>
      </c>
      <c r="J476" s="165" t="s">
        <v>805</v>
      </c>
      <c r="K476" s="165">
        <v>10.8689138</v>
      </c>
      <c r="L476" s="165">
        <v>2.15</v>
      </c>
      <c r="M476" s="169">
        <v>200</v>
      </c>
      <c r="N476" s="169" t="s">
        <v>817</v>
      </c>
    </row>
    <row r="477" spans="1:14" ht="15">
      <c r="A477" s="4" t="s">
        <v>340</v>
      </c>
      <c r="B477" s="4" t="s">
        <v>1987</v>
      </c>
      <c r="C477" s="330" t="s">
        <v>816</v>
      </c>
      <c r="D477" s="331">
        <v>5.61</v>
      </c>
      <c r="E477" s="331">
        <v>0.77</v>
      </c>
      <c r="F477" s="331">
        <v>5.27</v>
      </c>
      <c r="G477" s="331">
        <v>2.02</v>
      </c>
      <c r="H477" s="331">
        <v>2.61</v>
      </c>
      <c r="I477" s="331">
        <v>30</v>
      </c>
      <c r="J477" s="165" t="s">
        <v>805</v>
      </c>
      <c r="K477" s="165">
        <v>10.867481</v>
      </c>
      <c r="L477" s="165">
        <v>2.15</v>
      </c>
      <c r="M477" s="169">
        <v>200</v>
      </c>
      <c r="N477" s="169" t="s">
        <v>817</v>
      </c>
    </row>
    <row r="478" spans="1:14" ht="15">
      <c r="A478" s="4" t="s">
        <v>439</v>
      </c>
      <c r="B478" s="4" t="s">
        <v>1988</v>
      </c>
      <c r="C478" s="330" t="s">
        <v>816</v>
      </c>
      <c r="D478" s="331">
        <v>8.6</v>
      </c>
      <c r="E478" s="331">
        <v>0.7</v>
      </c>
      <c r="F478" s="331">
        <v>6.8</v>
      </c>
      <c r="G478" s="331">
        <v>6.7</v>
      </c>
      <c r="H478" s="331">
        <v>0</v>
      </c>
      <c r="I478" s="331">
        <v>30</v>
      </c>
      <c r="J478" s="165" t="s">
        <v>805</v>
      </c>
      <c r="K478" s="165">
        <v>14.1516638</v>
      </c>
      <c r="L478" s="165">
        <v>2.15</v>
      </c>
      <c r="M478" s="169">
        <v>200</v>
      </c>
      <c r="N478" s="169" t="s">
        <v>817</v>
      </c>
    </row>
    <row r="479" spans="1:14" ht="15">
      <c r="A479" s="4" t="s">
        <v>441</v>
      </c>
      <c r="B479" s="4" t="s">
        <v>1989</v>
      </c>
      <c r="C479" s="330" t="s">
        <v>816</v>
      </c>
      <c r="D479" s="331">
        <v>9.8000000000000007</v>
      </c>
      <c r="E479" s="331">
        <v>0.8</v>
      </c>
      <c r="F479" s="331">
        <v>8.1999999999999993</v>
      </c>
      <c r="G479" s="331">
        <v>6.9</v>
      </c>
      <c r="H479" s="331">
        <v>0</v>
      </c>
      <c r="I479" s="331">
        <v>30</v>
      </c>
      <c r="J479" s="165" t="s">
        <v>805</v>
      </c>
      <c r="K479" s="165">
        <v>11.9779582</v>
      </c>
      <c r="L479" s="165">
        <v>2.15</v>
      </c>
      <c r="M479" s="169">
        <v>200</v>
      </c>
      <c r="N479" s="169" t="s">
        <v>817</v>
      </c>
    </row>
    <row r="480" spans="1:14" ht="15">
      <c r="A480" s="4" t="s">
        <v>587</v>
      </c>
      <c r="B480" s="4" t="s">
        <v>1990</v>
      </c>
      <c r="C480" s="330" t="s">
        <v>816</v>
      </c>
      <c r="D480" s="331">
        <v>51.66</v>
      </c>
      <c r="E480" s="331">
        <v>0.09</v>
      </c>
      <c r="F480" s="331">
        <v>20</v>
      </c>
      <c r="G480" s="331">
        <v>11.38</v>
      </c>
      <c r="H480" s="331">
        <v>5.67</v>
      </c>
      <c r="I480" s="331">
        <v>30</v>
      </c>
      <c r="J480" s="165" t="s">
        <v>1105</v>
      </c>
      <c r="K480" s="165">
        <v>8.5340044200000005</v>
      </c>
      <c r="L480" s="165">
        <v>5</v>
      </c>
      <c r="M480" s="169">
        <v>50</v>
      </c>
      <c r="N480" s="169" t="s">
        <v>817</v>
      </c>
    </row>
    <row r="481" spans="1:14" ht="15">
      <c r="A481" s="4" t="s">
        <v>783</v>
      </c>
      <c r="B481" s="4" t="s">
        <v>475</v>
      </c>
      <c r="C481" s="330" t="s">
        <v>816</v>
      </c>
      <c r="D481" s="331">
        <v>20</v>
      </c>
      <c r="E481" s="331">
        <v>0</v>
      </c>
      <c r="F481" s="331">
        <v>20</v>
      </c>
      <c r="G481" s="331">
        <v>20</v>
      </c>
      <c r="H481" s="331">
        <v>0</v>
      </c>
      <c r="I481" s="331"/>
      <c r="J481" s="165" t="s">
        <v>1105</v>
      </c>
      <c r="K481" s="165">
        <v>10</v>
      </c>
      <c r="L481" s="165">
        <v>6</v>
      </c>
      <c r="M481" s="169">
        <v>25</v>
      </c>
      <c r="N481" s="169" t="s">
        <v>817</v>
      </c>
    </row>
    <row r="482" spans="1:14" ht="15">
      <c r="A482" s="4" t="s">
        <v>679</v>
      </c>
      <c r="B482" s="4" t="s">
        <v>341</v>
      </c>
      <c r="C482" s="330" t="s">
        <v>816</v>
      </c>
      <c r="D482" s="331">
        <v>100</v>
      </c>
      <c r="E482" s="331">
        <v>0</v>
      </c>
      <c r="F482" s="331">
        <v>10</v>
      </c>
      <c r="G482" s="331">
        <v>30</v>
      </c>
      <c r="H482" s="331">
        <v>5</v>
      </c>
      <c r="I482" s="331"/>
      <c r="J482" s="165" t="s">
        <v>1105</v>
      </c>
      <c r="K482" s="165">
        <v>4.6403712300000004</v>
      </c>
      <c r="L482" s="165">
        <v>2</v>
      </c>
      <c r="M482" s="169">
        <v>10</v>
      </c>
      <c r="N482" s="169" t="s">
        <v>817</v>
      </c>
    </row>
    <row r="483" spans="1:14" ht="15">
      <c r="A483" s="4" t="s">
        <v>680</v>
      </c>
      <c r="B483" s="4" t="s">
        <v>440</v>
      </c>
      <c r="C483" s="330" t="s">
        <v>816</v>
      </c>
      <c r="D483" s="331">
        <v>40</v>
      </c>
      <c r="E483" s="331">
        <v>4</v>
      </c>
      <c r="F483" s="331">
        <v>10</v>
      </c>
      <c r="G483" s="331">
        <v>80</v>
      </c>
      <c r="H483" s="331">
        <v>6</v>
      </c>
      <c r="I483" s="331"/>
      <c r="J483" s="165" t="s">
        <v>1105</v>
      </c>
      <c r="K483" s="165">
        <v>10.4730601</v>
      </c>
      <c r="L483" s="165">
        <v>1.5</v>
      </c>
      <c r="M483" s="169">
        <v>25</v>
      </c>
      <c r="N483" s="169" t="s">
        <v>817</v>
      </c>
    </row>
    <row r="484" spans="1:14" ht="15">
      <c r="A484" s="4" t="s">
        <v>443</v>
      </c>
      <c r="B484" s="4" t="s">
        <v>442</v>
      </c>
      <c r="C484" s="330" t="s">
        <v>816</v>
      </c>
      <c r="D484" s="331">
        <v>50</v>
      </c>
      <c r="E484" s="331">
        <v>5</v>
      </c>
      <c r="F484" s="331">
        <v>30</v>
      </c>
      <c r="G484" s="331">
        <v>80</v>
      </c>
      <c r="H484" s="331">
        <v>6</v>
      </c>
      <c r="I484" s="331"/>
      <c r="J484" s="165" t="s">
        <v>1105</v>
      </c>
      <c r="K484" s="165">
        <v>8.3784480499999994</v>
      </c>
      <c r="L484" s="165">
        <v>1.5</v>
      </c>
      <c r="M484" s="169">
        <v>25</v>
      </c>
      <c r="N484" s="169" t="s">
        <v>817</v>
      </c>
    </row>
    <row r="485" spans="1:14" ht="15">
      <c r="A485" s="4" t="s">
        <v>85</v>
      </c>
      <c r="B485" s="4" t="s">
        <v>1991</v>
      </c>
      <c r="C485" s="330" t="s">
        <v>814</v>
      </c>
      <c r="D485" s="331">
        <v>1.5</v>
      </c>
      <c r="E485" s="331">
        <v>0</v>
      </c>
      <c r="F485" s="331">
        <v>1</v>
      </c>
      <c r="G485" s="331">
        <v>5</v>
      </c>
      <c r="H485" s="331">
        <v>0</v>
      </c>
      <c r="I485" s="331"/>
      <c r="J485" s="165" t="s">
        <v>1105</v>
      </c>
      <c r="K485" s="165">
        <v>11.9992266</v>
      </c>
      <c r="L485" s="165">
        <v>3</v>
      </c>
      <c r="M485" s="169">
        <v>200</v>
      </c>
      <c r="N485" s="169" t="s">
        <v>818</v>
      </c>
    </row>
    <row r="486" spans="1:14" ht="15">
      <c r="A486" s="4" t="s">
        <v>86</v>
      </c>
      <c r="B486" s="4" t="s">
        <v>1992</v>
      </c>
      <c r="C486" s="330" t="s">
        <v>814</v>
      </c>
      <c r="D486" s="331">
        <v>1.5</v>
      </c>
      <c r="E486" s="331">
        <v>0</v>
      </c>
      <c r="F486" s="331">
        <v>1</v>
      </c>
      <c r="G486" s="331">
        <v>5</v>
      </c>
      <c r="H486" s="331">
        <v>0</v>
      </c>
      <c r="I486" s="331"/>
      <c r="J486" s="165" t="s">
        <v>1105</v>
      </c>
      <c r="K486" s="165">
        <v>11.9992266</v>
      </c>
      <c r="L486" s="165">
        <v>3</v>
      </c>
      <c r="M486" s="169">
        <v>200</v>
      </c>
      <c r="N486" s="169" t="s">
        <v>818</v>
      </c>
    </row>
    <row r="487" spans="1:14" ht="15">
      <c r="A487" s="4" t="s">
        <v>87</v>
      </c>
      <c r="B487" s="4" t="s">
        <v>1993</v>
      </c>
      <c r="C487" s="330" t="s">
        <v>814</v>
      </c>
      <c r="D487" s="331">
        <v>1.4</v>
      </c>
      <c r="E487" s="331">
        <v>0.7</v>
      </c>
      <c r="F487" s="331">
        <v>0.69</v>
      </c>
      <c r="G487" s="331">
        <v>4.0999999999999996</v>
      </c>
      <c r="H487" s="331">
        <v>0.5</v>
      </c>
      <c r="I487" s="331"/>
      <c r="J487" s="165" t="s">
        <v>1105</v>
      </c>
      <c r="K487" s="165">
        <v>23.9973484</v>
      </c>
      <c r="L487" s="165">
        <v>3</v>
      </c>
      <c r="M487" s="169">
        <v>200</v>
      </c>
      <c r="N487" s="169" t="s">
        <v>818</v>
      </c>
    </row>
    <row r="488" spans="1:14" ht="15">
      <c r="A488" s="4" t="s">
        <v>88</v>
      </c>
      <c r="B488" s="4" t="s">
        <v>1994</v>
      </c>
      <c r="C488" s="330" t="s">
        <v>814</v>
      </c>
      <c r="D488" s="331">
        <v>1.4</v>
      </c>
      <c r="E488" s="331">
        <v>0.7</v>
      </c>
      <c r="F488" s="331">
        <v>0.69</v>
      </c>
      <c r="G488" s="331">
        <v>4.0999999999999996</v>
      </c>
      <c r="H488" s="331">
        <v>0.5</v>
      </c>
      <c r="I488" s="331"/>
      <c r="J488" s="165" t="s">
        <v>1105</v>
      </c>
      <c r="K488" s="165">
        <v>23.9973484</v>
      </c>
      <c r="L488" s="165">
        <v>3</v>
      </c>
      <c r="M488" s="169">
        <v>200</v>
      </c>
      <c r="N488" s="169" t="s">
        <v>818</v>
      </c>
    </row>
    <row r="489" spans="1:14" ht="15">
      <c r="A489" s="4" t="s">
        <v>755</v>
      </c>
      <c r="B489" s="4" t="s">
        <v>444</v>
      </c>
      <c r="C489" s="330" t="s">
        <v>816</v>
      </c>
      <c r="D489" s="331">
        <v>19.600000000000001</v>
      </c>
      <c r="E489" s="331">
        <v>0</v>
      </c>
      <c r="F489" s="331">
        <v>5.5</v>
      </c>
      <c r="G489" s="331">
        <v>22.4</v>
      </c>
      <c r="H489" s="331">
        <v>17</v>
      </c>
      <c r="I489" s="331"/>
      <c r="J489" s="165" t="s">
        <v>1105</v>
      </c>
      <c r="K489" s="165">
        <v>10.2691889</v>
      </c>
      <c r="L489" s="165">
        <v>5</v>
      </c>
      <c r="M489" s="169">
        <v>200</v>
      </c>
      <c r="N489" s="169" t="s">
        <v>817</v>
      </c>
    </row>
    <row r="490" spans="1:14" ht="15">
      <c r="A490" s="4" t="s">
        <v>685</v>
      </c>
      <c r="B490" s="4" t="s">
        <v>1995</v>
      </c>
      <c r="C490" s="330" t="s">
        <v>816</v>
      </c>
      <c r="D490" s="331">
        <v>58.34</v>
      </c>
      <c r="E490" s="331">
        <v>0</v>
      </c>
      <c r="F490" s="331">
        <v>13.81</v>
      </c>
      <c r="G490" s="331">
        <v>20.02</v>
      </c>
      <c r="H490" s="331">
        <v>4</v>
      </c>
      <c r="I490" s="331">
        <v>30</v>
      </c>
      <c r="J490" s="165" t="s">
        <v>1105</v>
      </c>
      <c r="K490" s="165">
        <v>7.7369679500000004</v>
      </c>
      <c r="L490" s="165">
        <v>6</v>
      </c>
      <c r="M490" s="169">
        <v>15</v>
      </c>
      <c r="N490" s="169" t="s">
        <v>817</v>
      </c>
    </row>
    <row r="491" spans="1:14" ht="15">
      <c r="A491" s="4" t="s">
        <v>686</v>
      </c>
      <c r="B491" s="4" t="s">
        <v>1996</v>
      </c>
      <c r="C491" s="330" t="s">
        <v>816</v>
      </c>
      <c r="D491" s="331">
        <v>61.65</v>
      </c>
      <c r="E491" s="331">
        <v>0</v>
      </c>
      <c r="F491" s="331">
        <v>14.59</v>
      </c>
      <c r="G491" s="331">
        <v>21.15</v>
      </c>
      <c r="H491" s="331">
        <v>4.2300000000000004</v>
      </c>
      <c r="I491" s="331">
        <v>30</v>
      </c>
      <c r="J491" s="165" t="s">
        <v>1105</v>
      </c>
      <c r="K491" s="165">
        <v>7.7363983100000002</v>
      </c>
      <c r="L491" s="165">
        <v>6</v>
      </c>
      <c r="M491" s="169">
        <v>15</v>
      </c>
      <c r="N491" s="169" t="s">
        <v>817</v>
      </c>
    </row>
    <row r="492" spans="1:14" ht="15">
      <c r="A492" s="4" t="s">
        <v>540</v>
      </c>
      <c r="B492" s="4" t="s">
        <v>1997</v>
      </c>
      <c r="C492" s="330" t="s">
        <v>816</v>
      </c>
      <c r="D492" s="331">
        <v>68.19</v>
      </c>
      <c r="E492" s="331">
        <v>0</v>
      </c>
      <c r="F492" s="331">
        <v>13.35</v>
      </c>
      <c r="G492" s="331">
        <v>22.78</v>
      </c>
      <c r="H492" s="331">
        <v>4.3099999999999996</v>
      </c>
      <c r="I492" s="331">
        <v>30</v>
      </c>
      <c r="J492" s="165" t="s">
        <v>1105</v>
      </c>
      <c r="K492" s="165">
        <v>5.2427892700000003</v>
      </c>
      <c r="L492" s="165">
        <v>5</v>
      </c>
      <c r="M492" s="169">
        <v>50</v>
      </c>
      <c r="N492" s="169" t="s">
        <v>817</v>
      </c>
    </row>
    <row r="493" spans="1:14" ht="15">
      <c r="A493" s="4" t="s">
        <v>541</v>
      </c>
      <c r="B493" s="4" t="s">
        <v>1998</v>
      </c>
      <c r="C493" s="330" t="s">
        <v>816</v>
      </c>
      <c r="D493" s="331">
        <v>38.049999999999997</v>
      </c>
      <c r="E493" s="331">
        <v>0</v>
      </c>
      <c r="F493" s="331">
        <v>8.02</v>
      </c>
      <c r="G493" s="331">
        <v>12.05</v>
      </c>
      <c r="H493" s="331">
        <v>0</v>
      </c>
      <c r="I493" s="331"/>
      <c r="J493" s="165" t="s">
        <v>1105</v>
      </c>
      <c r="K493" s="165">
        <v>5.2431316700000004</v>
      </c>
      <c r="L493" s="165">
        <v>5</v>
      </c>
      <c r="M493" s="169">
        <v>50</v>
      </c>
      <c r="N493" s="169" t="s">
        <v>817</v>
      </c>
    </row>
    <row r="494" spans="1:14" ht="15">
      <c r="A494" s="4" t="s">
        <v>261</v>
      </c>
      <c r="B494" s="4" t="s">
        <v>756</v>
      </c>
      <c r="C494" s="330" t="s">
        <v>816</v>
      </c>
      <c r="D494" s="331">
        <v>20</v>
      </c>
      <c r="E494" s="331">
        <v>0.2</v>
      </c>
      <c r="F494" s="331">
        <v>0</v>
      </c>
      <c r="G494" s="331">
        <v>0</v>
      </c>
      <c r="H494" s="331">
        <v>0</v>
      </c>
      <c r="I494" s="331"/>
      <c r="J494" s="165" t="s">
        <v>1105</v>
      </c>
      <c r="K494" s="165">
        <v>17.5771637</v>
      </c>
      <c r="L494" s="165">
        <v>1.5</v>
      </c>
      <c r="M494" s="169">
        <v>25</v>
      </c>
      <c r="N494" s="169" t="s">
        <v>817</v>
      </c>
    </row>
    <row r="495" spans="1:14" ht="15">
      <c r="A495" s="4" t="s">
        <v>263</v>
      </c>
      <c r="B495" s="4" t="s">
        <v>1999</v>
      </c>
      <c r="C495" s="330" t="s">
        <v>816</v>
      </c>
      <c r="D495" s="331">
        <v>5</v>
      </c>
      <c r="E495" s="331">
        <v>0</v>
      </c>
      <c r="F495" s="331">
        <v>2.98</v>
      </c>
      <c r="G495" s="331">
        <v>14</v>
      </c>
      <c r="H495" s="331">
        <v>1.99</v>
      </c>
      <c r="I495" s="331"/>
      <c r="J495" s="165" t="s">
        <v>1105</v>
      </c>
      <c r="K495" s="165">
        <v>70</v>
      </c>
      <c r="L495" s="165">
        <v>4.93</v>
      </c>
      <c r="M495" s="169">
        <v>200</v>
      </c>
      <c r="N495" s="169" t="s">
        <v>817</v>
      </c>
    </row>
    <row r="496" spans="1:14" ht="15">
      <c r="A496" s="4" t="s">
        <v>445</v>
      </c>
      <c r="B496" s="4" t="s">
        <v>2000</v>
      </c>
      <c r="C496" s="330" t="s">
        <v>816</v>
      </c>
      <c r="D496" s="331">
        <v>4.4000000000000004</v>
      </c>
      <c r="E496" s="331">
        <v>0</v>
      </c>
      <c r="F496" s="331">
        <v>2.98</v>
      </c>
      <c r="G496" s="331">
        <v>16.989999999999998</v>
      </c>
      <c r="H496" s="331">
        <v>1.99</v>
      </c>
      <c r="I496" s="331"/>
      <c r="J496" s="165" t="s">
        <v>1105</v>
      </c>
      <c r="K496" s="165">
        <v>80.000263700000005</v>
      </c>
      <c r="L496" s="165">
        <v>4.93</v>
      </c>
      <c r="M496" s="169">
        <v>200</v>
      </c>
      <c r="N496" s="169" t="s">
        <v>817</v>
      </c>
    </row>
    <row r="497" spans="1:14" ht="15">
      <c r="A497" s="4" t="s">
        <v>447</v>
      </c>
      <c r="B497" s="4" t="s">
        <v>2001</v>
      </c>
      <c r="C497" s="330" t="s">
        <v>816</v>
      </c>
      <c r="D497" s="331">
        <v>6</v>
      </c>
      <c r="E497" s="331">
        <v>0</v>
      </c>
      <c r="F497" s="331">
        <v>2.5</v>
      </c>
      <c r="G497" s="331">
        <v>7</v>
      </c>
      <c r="H497" s="331">
        <v>2</v>
      </c>
      <c r="I497" s="331"/>
      <c r="J497" s="165" t="s">
        <v>1105</v>
      </c>
      <c r="K497" s="165">
        <v>65</v>
      </c>
      <c r="L497" s="165">
        <v>4.93</v>
      </c>
      <c r="M497" s="169">
        <v>200</v>
      </c>
      <c r="N497" s="169" t="s">
        <v>817</v>
      </c>
    </row>
    <row r="498" spans="1:14" ht="15">
      <c r="A498" s="4" t="s">
        <v>449</v>
      </c>
      <c r="B498" s="4" t="s">
        <v>2002</v>
      </c>
      <c r="C498" s="330" t="s">
        <v>816</v>
      </c>
      <c r="D498" s="331">
        <v>5</v>
      </c>
      <c r="E498" s="331">
        <v>0</v>
      </c>
      <c r="F498" s="331">
        <v>3</v>
      </c>
      <c r="G498" s="331">
        <v>14</v>
      </c>
      <c r="H498" s="331">
        <v>2</v>
      </c>
      <c r="I498" s="331"/>
      <c r="J498" s="165" t="s">
        <v>1105</v>
      </c>
      <c r="K498" s="165">
        <v>80</v>
      </c>
      <c r="L498" s="165">
        <v>4.93</v>
      </c>
      <c r="M498" s="169">
        <v>200</v>
      </c>
      <c r="N498" s="169" t="s">
        <v>817</v>
      </c>
    </row>
    <row r="499" spans="1:14" ht="15">
      <c r="A499" s="4" t="s">
        <v>123</v>
      </c>
      <c r="B499" s="4" t="s">
        <v>262</v>
      </c>
      <c r="C499" s="330" t="s">
        <v>816</v>
      </c>
      <c r="D499" s="331">
        <v>60</v>
      </c>
      <c r="E499" s="331">
        <v>0.3</v>
      </c>
      <c r="F499" s="331">
        <v>30</v>
      </c>
      <c r="G499" s="331">
        <v>50</v>
      </c>
      <c r="H499" s="331">
        <v>8</v>
      </c>
      <c r="I499" s="331"/>
      <c r="J499" s="165" t="s">
        <v>1105</v>
      </c>
      <c r="K499" s="165">
        <v>7.0538306400000002</v>
      </c>
      <c r="L499" s="165">
        <v>6</v>
      </c>
      <c r="M499" s="169">
        <v>25</v>
      </c>
      <c r="N499" s="169" t="s">
        <v>817</v>
      </c>
    </row>
    <row r="500" spans="1:14" ht="15">
      <c r="A500" s="4" t="s">
        <v>265</v>
      </c>
      <c r="B500" s="4" t="s">
        <v>264</v>
      </c>
      <c r="C500" s="330" t="s">
        <v>816</v>
      </c>
      <c r="D500" s="331">
        <v>45</v>
      </c>
      <c r="E500" s="331">
        <v>4.5</v>
      </c>
      <c r="F500" s="331">
        <v>2</v>
      </c>
      <c r="G500" s="331">
        <v>50</v>
      </c>
      <c r="H500" s="331">
        <v>0</v>
      </c>
      <c r="I500" s="331"/>
      <c r="J500" s="165" t="s">
        <v>1105</v>
      </c>
      <c r="K500" s="165">
        <v>7.1610667100000001</v>
      </c>
      <c r="L500" s="165">
        <v>1.5</v>
      </c>
      <c r="M500" s="169">
        <v>25</v>
      </c>
      <c r="N500" s="169" t="s">
        <v>817</v>
      </c>
    </row>
    <row r="501" spans="1:14" ht="15">
      <c r="A501" s="4" t="s">
        <v>352</v>
      </c>
      <c r="B501" s="4" t="s">
        <v>446</v>
      </c>
      <c r="C501" s="330" t="s">
        <v>815</v>
      </c>
      <c r="D501" s="331">
        <v>45</v>
      </c>
      <c r="E501" s="331">
        <v>0</v>
      </c>
      <c r="F501" s="331">
        <v>2</v>
      </c>
      <c r="G501" s="331">
        <v>50</v>
      </c>
      <c r="H501" s="331">
        <v>0</v>
      </c>
      <c r="I501" s="331"/>
      <c r="J501" s="165" t="s">
        <v>1105</v>
      </c>
      <c r="K501" s="165">
        <v>6.4449600399999998</v>
      </c>
      <c r="L501" s="165">
        <v>1.5</v>
      </c>
      <c r="M501" s="169">
        <v>25</v>
      </c>
      <c r="N501" s="169" t="s">
        <v>817</v>
      </c>
    </row>
    <row r="502" spans="1:14" ht="15">
      <c r="A502" s="4" t="s">
        <v>354</v>
      </c>
      <c r="B502" s="4" t="s">
        <v>448</v>
      </c>
      <c r="C502" s="330" t="s">
        <v>816</v>
      </c>
      <c r="D502" s="331">
        <v>20.5</v>
      </c>
      <c r="E502" s="331">
        <v>0</v>
      </c>
      <c r="F502" s="331">
        <v>24.1</v>
      </c>
      <c r="G502" s="331">
        <v>48.6</v>
      </c>
      <c r="H502" s="331">
        <v>10</v>
      </c>
      <c r="I502" s="331"/>
      <c r="J502" s="165" t="s">
        <v>1105</v>
      </c>
      <c r="K502" s="165">
        <v>15.5622206</v>
      </c>
      <c r="L502" s="165">
        <v>5</v>
      </c>
      <c r="M502" s="169">
        <v>200</v>
      </c>
      <c r="N502" s="169" t="s">
        <v>817</v>
      </c>
    </row>
    <row r="503" spans="1:14" ht="15">
      <c r="A503" s="4" t="s">
        <v>267</v>
      </c>
      <c r="B503" s="4" t="s">
        <v>450</v>
      </c>
      <c r="C503" s="330" t="s">
        <v>816</v>
      </c>
      <c r="D503" s="331">
        <v>19.2</v>
      </c>
      <c r="E503" s="331">
        <v>0</v>
      </c>
      <c r="F503" s="331">
        <v>14.2</v>
      </c>
      <c r="G503" s="331">
        <v>14</v>
      </c>
      <c r="H503" s="331">
        <v>16.3</v>
      </c>
      <c r="I503" s="331"/>
      <c r="J503" s="165" t="s">
        <v>1105</v>
      </c>
      <c r="K503" s="165">
        <v>17.5222351</v>
      </c>
      <c r="L503" s="165">
        <v>3</v>
      </c>
      <c r="M503" s="169">
        <v>25</v>
      </c>
      <c r="N503" s="169" t="s">
        <v>817</v>
      </c>
    </row>
    <row r="504" spans="1:14" ht="15">
      <c r="A504" s="4" t="s">
        <v>269</v>
      </c>
      <c r="B504" s="4" t="s">
        <v>124</v>
      </c>
      <c r="C504" s="330" t="s">
        <v>816</v>
      </c>
      <c r="D504" s="331">
        <v>130</v>
      </c>
      <c r="E504" s="331">
        <v>0</v>
      </c>
      <c r="F504" s="331">
        <v>0</v>
      </c>
      <c r="G504" s="331">
        <v>0</v>
      </c>
      <c r="H504" s="331">
        <v>0</v>
      </c>
      <c r="I504" s="331"/>
      <c r="J504" s="165" t="s">
        <v>1105</v>
      </c>
      <c r="K504" s="165">
        <v>3.4133499899999999</v>
      </c>
      <c r="L504" s="165">
        <v>2</v>
      </c>
      <c r="M504" s="169">
        <v>10</v>
      </c>
      <c r="N504" s="169" t="s">
        <v>817</v>
      </c>
    </row>
    <row r="505" spans="1:14" ht="15">
      <c r="A505" s="4" t="s">
        <v>90</v>
      </c>
      <c r="B505" s="4" t="s">
        <v>266</v>
      </c>
      <c r="C505" s="330" t="s">
        <v>816</v>
      </c>
      <c r="D505" s="331">
        <v>60</v>
      </c>
      <c r="E505" s="331">
        <v>1.5</v>
      </c>
      <c r="F505" s="331">
        <v>30</v>
      </c>
      <c r="G505" s="331">
        <v>10</v>
      </c>
      <c r="H505" s="331">
        <v>0</v>
      </c>
      <c r="I505" s="331"/>
      <c r="J505" s="165" t="s">
        <v>1105</v>
      </c>
      <c r="K505" s="165">
        <v>5.5525809600000002</v>
      </c>
      <c r="L505" s="165">
        <v>3</v>
      </c>
      <c r="M505" s="169">
        <v>25</v>
      </c>
      <c r="N505" s="169" t="s">
        <v>817</v>
      </c>
    </row>
    <row r="506" spans="1:14" ht="15">
      <c r="A506" s="4" t="s">
        <v>91</v>
      </c>
      <c r="B506" s="4" t="s">
        <v>353</v>
      </c>
      <c r="C506" s="330" t="s">
        <v>816</v>
      </c>
      <c r="D506" s="331">
        <v>130</v>
      </c>
      <c r="E506" s="331">
        <v>0</v>
      </c>
      <c r="F506" s="331">
        <v>6</v>
      </c>
      <c r="G506" s="331">
        <v>0</v>
      </c>
      <c r="H506" s="331">
        <v>0</v>
      </c>
      <c r="I506" s="331">
        <v>70</v>
      </c>
      <c r="J506" s="165" t="s">
        <v>1105</v>
      </c>
      <c r="K506" s="165">
        <v>3.5695163299999999</v>
      </c>
      <c r="L506" s="165">
        <v>2</v>
      </c>
      <c r="M506" s="169">
        <v>10</v>
      </c>
      <c r="N506" s="169" t="s">
        <v>817</v>
      </c>
    </row>
    <row r="507" spans="1:14" ht="15">
      <c r="A507" s="4" t="s">
        <v>589</v>
      </c>
      <c r="B507" s="4" t="s">
        <v>355</v>
      </c>
      <c r="C507" s="330" t="s">
        <v>816</v>
      </c>
      <c r="D507" s="331">
        <v>130</v>
      </c>
      <c r="E507" s="331">
        <v>0</v>
      </c>
      <c r="F507" s="331">
        <v>5</v>
      </c>
      <c r="G507" s="331">
        <v>0</v>
      </c>
      <c r="H507" s="331">
        <v>0</v>
      </c>
      <c r="I507" s="331">
        <v>70</v>
      </c>
      <c r="J507" s="165" t="s">
        <v>1105</v>
      </c>
      <c r="K507" s="165">
        <v>3.8818490099999998</v>
      </c>
      <c r="L507" s="165">
        <v>2</v>
      </c>
      <c r="M507" s="169">
        <v>10</v>
      </c>
      <c r="N507" s="169" t="s">
        <v>817</v>
      </c>
    </row>
    <row r="508" spans="1:14" ht="15">
      <c r="A508" s="4" t="s">
        <v>92</v>
      </c>
      <c r="B508" s="4" t="s">
        <v>268</v>
      </c>
      <c r="C508" s="330" t="s">
        <v>816</v>
      </c>
      <c r="D508" s="331">
        <v>50</v>
      </c>
      <c r="E508" s="331">
        <v>1.25</v>
      </c>
      <c r="F508" s="331">
        <v>25</v>
      </c>
      <c r="G508" s="331">
        <v>5</v>
      </c>
      <c r="H508" s="331">
        <v>5</v>
      </c>
      <c r="I508" s="331"/>
      <c r="J508" s="165" t="s">
        <v>1105</v>
      </c>
      <c r="K508" s="165">
        <v>4.7593551099999996</v>
      </c>
      <c r="L508" s="165">
        <v>3</v>
      </c>
      <c r="M508" s="169">
        <v>25</v>
      </c>
      <c r="N508" s="169" t="s">
        <v>817</v>
      </c>
    </row>
    <row r="509" spans="1:14" ht="15">
      <c r="A509" s="4" t="s">
        <v>93</v>
      </c>
      <c r="B509" s="4" t="s">
        <v>270</v>
      </c>
      <c r="C509" s="330" t="s">
        <v>816</v>
      </c>
      <c r="D509" s="331">
        <v>40</v>
      </c>
      <c r="E509" s="331">
        <v>4</v>
      </c>
      <c r="F509" s="331">
        <v>10</v>
      </c>
      <c r="G509" s="331">
        <v>60</v>
      </c>
      <c r="H509" s="331">
        <v>10</v>
      </c>
      <c r="I509" s="331"/>
      <c r="J509" s="165" t="s">
        <v>1105</v>
      </c>
      <c r="K509" s="165">
        <v>11.278680100000001</v>
      </c>
      <c r="L509" s="165">
        <v>1.5</v>
      </c>
      <c r="M509" s="169">
        <v>25</v>
      </c>
      <c r="N509" s="169" t="s">
        <v>817</v>
      </c>
    </row>
    <row r="510" spans="1:14" ht="15">
      <c r="A510" s="4" t="s">
        <v>451</v>
      </c>
      <c r="B510" s="4" t="s">
        <v>2003</v>
      </c>
      <c r="C510" s="330" t="s">
        <v>816</v>
      </c>
      <c r="D510" s="331">
        <v>11.85</v>
      </c>
      <c r="E510" s="331">
        <v>0.12</v>
      </c>
      <c r="F510" s="331">
        <v>0.71</v>
      </c>
      <c r="G510" s="331">
        <v>1.17</v>
      </c>
      <c r="H510" s="331">
        <v>0.16</v>
      </c>
      <c r="I510" s="331">
        <v>30</v>
      </c>
      <c r="J510" s="165" t="s">
        <v>1105</v>
      </c>
      <c r="K510" s="165">
        <v>23.3591066</v>
      </c>
      <c r="L510" s="165">
        <v>3</v>
      </c>
      <c r="M510" s="169">
        <v>25</v>
      </c>
      <c r="N510" s="169" t="s">
        <v>817</v>
      </c>
    </row>
    <row r="511" spans="1:14" ht="15">
      <c r="A511" s="4" t="s">
        <v>271</v>
      </c>
      <c r="B511" s="4" t="s">
        <v>2004</v>
      </c>
      <c r="C511" s="330" t="s">
        <v>816</v>
      </c>
      <c r="D511" s="331">
        <v>11.85</v>
      </c>
      <c r="E511" s="331">
        <v>0.12</v>
      </c>
      <c r="F511" s="331">
        <v>0.71</v>
      </c>
      <c r="G511" s="331">
        <v>1.17</v>
      </c>
      <c r="H511" s="331">
        <v>0.16</v>
      </c>
      <c r="I511" s="331"/>
      <c r="J511" s="165" t="s">
        <v>1105</v>
      </c>
      <c r="K511" s="165">
        <v>23.3591066</v>
      </c>
      <c r="L511" s="165">
        <v>3</v>
      </c>
      <c r="M511" s="169">
        <v>25</v>
      </c>
      <c r="N511" s="169" t="s">
        <v>817</v>
      </c>
    </row>
    <row r="512" spans="1:14" ht="15">
      <c r="A512" s="4" t="s">
        <v>317</v>
      </c>
      <c r="B512" s="4" t="s">
        <v>2005</v>
      </c>
      <c r="C512" s="330" t="s">
        <v>816</v>
      </c>
      <c r="D512" s="331">
        <v>8</v>
      </c>
      <c r="E512" s="331">
        <v>0</v>
      </c>
      <c r="F512" s="331">
        <v>4.8</v>
      </c>
      <c r="G512" s="331">
        <v>14</v>
      </c>
      <c r="H512" s="331">
        <v>0</v>
      </c>
      <c r="I512" s="331">
        <v>10</v>
      </c>
      <c r="J512" s="165" t="s">
        <v>1105</v>
      </c>
      <c r="K512" s="165">
        <v>21.99971</v>
      </c>
      <c r="L512" s="165">
        <v>3</v>
      </c>
      <c r="M512" s="169">
        <v>50</v>
      </c>
      <c r="N512" s="169" t="s">
        <v>817</v>
      </c>
    </row>
    <row r="513" spans="1:14" ht="15">
      <c r="A513" s="4" t="s">
        <v>780</v>
      </c>
      <c r="B513" s="4" t="s">
        <v>2006</v>
      </c>
      <c r="C513" s="330" t="s">
        <v>816</v>
      </c>
      <c r="D513" s="331">
        <v>10.18</v>
      </c>
      <c r="E513" s="331">
        <v>0.11</v>
      </c>
      <c r="F513" s="331">
        <v>0.66</v>
      </c>
      <c r="G513" s="331">
        <v>1.0900000000000001</v>
      </c>
      <c r="H513" s="331">
        <v>0.15</v>
      </c>
      <c r="I513" s="331">
        <v>10</v>
      </c>
      <c r="J513" s="165" t="s">
        <v>1105</v>
      </c>
      <c r="K513" s="165">
        <v>17.384687700000001</v>
      </c>
      <c r="L513" s="165">
        <v>3</v>
      </c>
      <c r="M513" s="169">
        <v>50</v>
      </c>
      <c r="N513" s="169" t="s">
        <v>817</v>
      </c>
    </row>
    <row r="514" spans="1:14" ht="15">
      <c r="A514" s="4" t="s">
        <v>681</v>
      </c>
      <c r="B514" s="4" t="s">
        <v>2007</v>
      </c>
      <c r="C514" s="330" t="s">
        <v>816</v>
      </c>
      <c r="D514" s="331">
        <v>20.99</v>
      </c>
      <c r="E514" s="331">
        <v>0.2</v>
      </c>
      <c r="F514" s="331">
        <v>1.23</v>
      </c>
      <c r="G514" s="331">
        <v>2.0499999999999998</v>
      </c>
      <c r="H514" s="331">
        <v>0.28000000000000003</v>
      </c>
      <c r="I514" s="331">
        <v>10</v>
      </c>
      <c r="J514" s="165" t="s">
        <v>1105</v>
      </c>
      <c r="K514" s="165">
        <v>16.0621796</v>
      </c>
      <c r="L514" s="165">
        <v>3</v>
      </c>
      <c r="M514" s="169">
        <v>25</v>
      </c>
      <c r="N514" s="169" t="s">
        <v>817</v>
      </c>
    </row>
    <row r="515" spans="1:14" ht="15">
      <c r="A515" s="4" t="s">
        <v>363</v>
      </c>
      <c r="B515" s="4" t="s">
        <v>452</v>
      </c>
      <c r="C515" s="330" t="s">
        <v>816</v>
      </c>
      <c r="D515" s="331">
        <v>39</v>
      </c>
      <c r="E515" s="331">
        <v>0</v>
      </c>
      <c r="F515" s="331">
        <v>29</v>
      </c>
      <c r="G515" s="331">
        <v>34</v>
      </c>
      <c r="H515" s="331">
        <v>10</v>
      </c>
      <c r="I515" s="331"/>
      <c r="J515" s="165" t="s">
        <v>1105</v>
      </c>
      <c r="K515" s="165">
        <v>10.753167899999999</v>
      </c>
      <c r="L515" s="165">
        <v>5</v>
      </c>
      <c r="M515" s="169">
        <v>200</v>
      </c>
      <c r="N515" s="169" t="s">
        <v>817</v>
      </c>
    </row>
    <row r="516" spans="1:14" ht="15">
      <c r="A516" s="4" t="s">
        <v>26</v>
      </c>
      <c r="B516" s="4" t="s">
        <v>272</v>
      </c>
      <c r="C516" s="330" t="s">
        <v>816</v>
      </c>
      <c r="D516" s="331">
        <v>80</v>
      </c>
      <c r="E516" s="331">
        <v>3.2</v>
      </c>
      <c r="F516" s="331">
        <v>20</v>
      </c>
      <c r="G516" s="331">
        <v>70</v>
      </c>
      <c r="H516" s="331">
        <v>20</v>
      </c>
      <c r="I516" s="331">
        <v>70</v>
      </c>
      <c r="J516" s="165" t="s">
        <v>1105</v>
      </c>
      <c r="K516" s="165">
        <v>5.2083333300000003</v>
      </c>
      <c r="L516" s="165">
        <v>2</v>
      </c>
      <c r="M516" s="169">
        <v>15</v>
      </c>
      <c r="N516" s="169" t="s">
        <v>817</v>
      </c>
    </row>
    <row r="517" spans="1:14" ht="15">
      <c r="A517" s="4" t="s">
        <v>27</v>
      </c>
      <c r="B517" s="4" t="s">
        <v>2008</v>
      </c>
      <c r="C517" s="330" t="s">
        <v>816</v>
      </c>
      <c r="D517" s="331">
        <v>25</v>
      </c>
      <c r="E517" s="331">
        <v>2.5</v>
      </c>
      <c r="F517" s="331">
        <v>2</v>
      </c>
      <c r="G517" s="331">
        <v>30</v>
      </c>
      <c r="H517" s="331">
        <v>0</v>
      </c>
      <c r="I517" s="331"/>
      <c r="J517" s="165" t="s">
        <v>1105</v>
      </c>
      <c r="K517" s="165">
        <v>4.4444444399999998</v>
      </c>
      <c r="L517" s="165">
        <v>1.5</v>
      </c>
      <c r="M517" s="169">
        <v>25</v>
      </c>
      <c r="N517" s="169" t="s">
        <v>817</v>
      </c>
    </row>
    <row r="518" spans="1:14" ht="15">
      <c r="A518" s="4" t="s">
        <v>136</v>
      </c>
      <c r="B518" s="4" t="s">
        <v>2009</v>
      </c>
      <c r="C518" s="330" t="s">
        <v>814</v>
      </c>
      <c r="D518" s="331">
        <v>35.020000000000003</v>
      </c>
      <c r="E518" s="331">
        <v>4.12</v>
      </c>
      <c r="F518" s="331">
        <v>2.09</v>
      </c>
      <c r="G518" s="331">
        <v>49.14</v>
      </c>
      <c r="H518" s="331">
        <v>3.02</v>
      </c>
      <c r="I518" s="331">
        <v>70</v>
      </c>
      <c r="J518" s="165" t="s">
        <v>1105</v>
      </c>
      <c r="K518" s="165">
        <v>7.3312984800000001</v>
      </c>
      <c r="L518" s="165">
        <v>1.5</v>
      </c>
      <c r="M518" s="169">
        <v>25</v>
      </c>
      <c r="N518" s="169" t="s">
        <v>818</v>
      </c>
    </row>
    <row r="519" spans="1:14" ht="15">
      <c r="A519" s="4" t="s">
        <v>771</v>
      </c>
      <c r="B519" s="4" t="s">
        <v>2010</v>
      </c>
      <c r="C519" s="330" t="s">
        <v>816</v>
      </c>
      <c r="D519" s="331">
        <v>40</v>
      </c>
      <c r="E519" s="331">
        <v>0</v>
      </c>
      <c r="F519" s="331">
        <v>5.04</v>
      </c>
      <c r="G519" s="331">
        <v>73.510000000000005</v>
      </c>
      <c r="H519" s="331">
        <v>2.82</v>
      </c>
      <c r="I519" s="331">
        <v>70</v>
      </c>
      <c r="J519" s="165" t="s">
        <v>1105</v>
      </c>
      <c r="K519" s="165">
        <v>7</v>
      </c>
      <c r="L519" s="165">
        <v>1.5</v>
      </c>
      <c r="M519" s="169">
        <v>25</v>
      </c>
      <c r="N519" s="169" t="s">
        <v>817</v>
      </c>
    </row>
    <row r="520" spans="1:14" ht="15">
      <c r="A520" s="4" t="s">
        <v>757</v>
      </c>
      <c r="B520" s="4" t="s">
        <v>364</v>
      </c>
      <c r="C520" s="330" t="s">
        <v>814</v>
      </c>
      <c r="D520" s="331">
        <v>14.5</v>
      </c>
      <c r="E520" s="331">
        <v>1.45</v>
      </c>
      <c r="F520" s="331">
        <v>0</v>
      </c>
      <c r="G520" s="331">
        <v>300</v>
      </c>
      <c r="H520" s="331">
        <v>0</v>
      </c>
      <c r="I520" s="331">
        <v>70</v>
      </c>
      <c r="J520" s="165" t="s">
        <v>1105</v>
      </c>
      <c r="K520" s="165">
        <v>6.66720004</v>
      </c>
      <c r="L520" s="165">
        <v>1.5</v>
      </c>
      <c r="M520" s="169">
        <v>25</v>
      </c>
      <c r="N520" s="169" t="s">
        <v>818</v>
      </c>
    </row>
    <row r="521" spans="1:14" ht="15">
      <c r="A521" s="4" t="s">
        <v>765</v>
      </c>
      <c r="B521" s="4" t="s">
        <v>2011</v>
      </c>
      <c r="C521" s="330" t="s">
        <v>814</v>
      </c>
      <c r="D521" s="331">
        <v>19.66</v>
      </c>
      <c r="E521" s="331">
        <v>0.32</v>
      </c>
      <c r="F521" s="331">
        <v>1.0900000000000001</v>
      </c>
      <c r="G521" s="331">
        <v>3.27</v>
      </c>
      <c r="H521" s="331">
        <v>2.77</v>
      </c>
      <c r="I521" s="331">
        <v>70</v>
      </c>
      <c r="J521" s="165" t="s">
        <v>1105</v>
      </c>
      <c r="K521" s="165">
        <v>8.2448167699999999</v>
      </c>
      <c r="L521" s="165">
        <v>1.5</v>
      </c>
      <c r="M521" s="169">
        <v>25</v>
      </c>
      <c r="N521" s="169" t="s">
        <v>818</v>
      </c>
    </row>
    <row r="522" spans="1:14" ht="15">
      <c r="A522" s="4" t="s">
        <v>767</v>
      </c>
      <c r="B522" s="4" t="s">
        <v>2012</v>
      </c>
      <c r="C522" s="330" t="s">
        <v>814</v>
      </c>
      <c r="D522" s="331">
        <v>37.4</v>
      </c>
      <c r="E522" s="331">
        <v>4.38</v>
      </c>
      <c r="F522" s="331">
        <v>2.38</v>
      </c>
      <c r="G522" s="331">
        <v>56.62</v>
      </c>
      <c r="H522" s="331">
        <v>25.39</v>
      </c>
      <c r="I522" s="331">
        <v>70</v>
      </c>
      <c r="J522" s="165" t="s">
        <v>1105</v>
      </c>
      <c r="K522" s="165">
        <v>7.2440804300000003</v>
      </c>
      <c r="L522" s="165">
        <v>1.5</v>
      </c>
      <c r="M522" s="169">
        <v>25</v>
      </c>
      <c r="N522" s="169" t="s">
        <v>818</v>
      </c>
    </row>
    <row r="523" spans="1:14" ht="15">
      <c r="A523" s="4" t="s">
        <v>95</v>
      </c>
      <c r="B523" s="4" t="s">
        <v>2013</v>
      </c>
      <c r="C523" s="330" t="s">
        <v>814</v>
      </c>
      <c r="D523" s="331">
        <v>7</v>
      </c>
      <c r="E523" s="331">
        <v>0.7</v>
      </c>
      <c r="F523" s="331">
        <v>0</v>
      </c>
      <c r="G523" s="331">
        <v>400</v>
      </c>
      <c r="H523" s="331">
        <v>0</v>
      </c>
      <c r="I523" s="331">
        <v>70</v>
      </c>
      <c r="J523" s="165" t="s">
        <v>1105</v>
      </c>
      <c r="K523" s="165">
        <v>32.224800199999997</v>
      </c>
      <c r="L523" s="165">
        <v>1.5</v>
      </c>
      <c r="M523" s="169">
        <v>50</v>
      </c>
      <c r="N523" s="169" t="s">
        <v>818</v>
      </c>
    </row>
    <row r="524" spans="1:14" ht="15">
      <c r="A524" s="4" t="s">
        <v>96</v>
      </c>
      <c r="B524" s="4" t="s">
        <v>772</v>
      </c>
      <c r="C524" s="330" t="s">
        <v>816</v>
      </c>
      <c r="D524" s="331">
        <v>2</v>
      </c>
      <c r="E524" s="331">
        <v>0.08</v>
      </c>
      <c r="F524" s="331">
        <v>1</v>
      </c>
      <c r="G524" s="331">
        <v>1</v>
      </c>
      <c r="H524" s="331">
        <v>0</v>
      </c>
      <c r="I524" s="331"/>
      <c r="J524" s="165" t="s">
        <v>1105</v>
      </c>
      <c r="K524" s="165">
        <v>9.0632250600000006</v>
      </c>
      <c r="L524" s="165">
        <v>3</v>
      </c>
      <c r="M524" s="169">
        <v>25</v>
      </c>
      <c r="N524" s="169" t="s">
        <v>817</v>
      </c>
    </row>
    <row r="525" spans="1:14" ht="15">
      <c r="A525" s="4" t="s">
        <v>97</v>
      </c>
      <c r="B525" s="4" t="s">
        <v>758</v>
      </c>
      <c r="C525" s="330" t="s">
        <v>814</v>
      </c>
      <c r="D525" s="331">
        <v>0.7</v>
      </c>
      <c r="E525" s="331">
        <v>0.01</v>
      </c>
      <c r="F525" s="331">
        <v>0.2</v>
      </c>
      <c r="G525" s="331">
        <v>0.2</v>
      </c>
      <c r="H525" s="331">
        <v>0</v>
      </c>
      <c r="I525" s="331"/>
      <c r="J525" s="165" t="s">
        <v>1105</v>
      </c>
      <c r="K525" s="165">
        <v>4.8337200300000003</v>
      </c>
      <c r="L525" s="165">
        <v>3.5</v>
      </c>
      <c r="M525" s="169">
        <v>50</v>
      </c>
      <c r="N525" s="169" t="s">
        <v>818</v>
      </c>
    </row>
    <row r="526" spans="1:14" ht="15">
      <c r="A526" s="4" t="s">
        <v>98</v>
      </c>
      <c r="B526" s="4" t="s">
        <v>766</v>
      </c>
      <c r="C526" s="330" t="s">
        <v>814</v>
      </c>
      <c r="D526" s="331">
        <v>0.5</v>
      </c>
      <c r="E526" s="331">
        <v>0.01</v>
      </c>
      <c r="F526" s="331">
        <v>0.05</v>
      </c>
      <c r="G526" s="331">
        <v>0</v>
      </c>
      <c r="H526" s="331">
        <v>0</v>
      </c>
      <c r="I526" s="331"/>
      <c r="J526" s="165" t="s">
        <v>1105</v>
      </c>
      <c r="K526" s="165">
        <v>16.572754400000001</v>
      </c>
      <c r="L526" s="165">
        <v>9.6183674299999993</v>
      </c>
      <c r="M526" s="169">
        <v>50</v>
      </c>
      <c r="N526" s="169" t="s">
        <v>818</v>
      </c>
    </row>
    <row r="527" spans="1:14" ht="15">
      <c r="A527" s="4" t="s">
        <v>273</v>
      </c>
      <c r="B527" s="4" t="s">
        <v>768</v>
      </c>
      <c r="C527" s="330" t="s">
        <v>814</v>
      </c>
      <c r="D527" s="331">
        <v>0.7</v>
      </c>
      <c r="E527" s="331">
        <v>0.01</v>
      </c>
      <c r="F527" s="331">
        <v>0.1</v>
      </c>
      <c r="G527" s="331">
        <v>0.2</v>
      </c>
      <c r="H527" s="331">
        <v>0</v>
      </c>
      <c r="I527" s="331"/>
      <c r="J527" s="165" t="s">
        <v>1105</v>
      </c>
      <c r="K527" s="165">
        <v>4.8337200300000003</v>
      </c>
      <c r="L527" s="165">
        <v>3.5</v>
      </c>
      <c r="M527" s="169">
        <v>200</v>
      </c>
      <c r="N527" s="169" t="s">
        <v>818</v>
      </c>
    </row>
    <row r="528" spans="1:14" ht="15">
      <c r="A528" s="4" t="s">
        <v>100</v>
      </c>
      <c r="B528" s="4" t="s">
        <v>2014</v>
      </c>
      <c r="C528" s="330" t="s">
        <v>816</v>
      </c>
      <c r="D528" s="331">
        <v>102.3</v>
      </c>
      <c r="E528" s="331">
        <v>0</v>
      </c>
      <c r="F528" s="331">
        <v>0.64</v>
      </c>
      <c r="G528" s="331">
        <v>0.78</v>
      </c>
      <c r="H528" s="331">
        <v>0.31</v>
      </c>
      <c r="I528" s="331">
        <v>70</v>
      </c>
      <c r="J528" s="165" t="s">
        <v>1105</v>
      </c>
      <c r="K528" s="165">
        <v>2.63634776</v>
      </c>
      <c r="L528" s="165">
        <v>2</v>
      </c>
      <c r="M528" s="169">
        <v>10</v>
      </c>
      <c r="N528" s="169" t="s">
        <v>817</v>
      </c>
    </row>
    <row r="529" spans="1:14" ht="15">
      <c r="A529" s="4" t="s">
        <v>478</v>
      </c>
      <c r="B529" s="4" t="s">
        <v>2015</v>
      </c>
      <c r="C529" s="330" t="s">
        <v>816</v>
      </c>
      <c r="D529" s="331">
        <v>41.17</v>
      </c>
      <c r="E529" s="331">
        <v>0</v>
      </c>
      <c r="F529" s="331">
        <v>10.66</v>
      </c>
      <c r="G529" s="331">
        <v>10.78</v>
      </c>
      <c r="H529" s="331">
        <v>2.97</v>
      </c>
      <c r="I529" s="331"/>
      <c r="J529" s="165" t="s">
        <v>1105</v>
      </c>
      <c r="K529" s="165">
        <v>9.9347563999999995</v>
      </c>
      <c r="L529" s="165">
        <v>3.01</v>
      </c>
      <c r="M529" s="169">
        <v>15</v>
      </c>
      <c r="N529" s="169" t="s">
        <v>817</v>
      </c>
    </row>
    <row r="530" spans="1:14" ht="15">
      <c r="A530" s="4" t="s">
        <v>125</v>
      </c>
      <c r="B530" s="4" t="s">
        <v>2016</v>
      </c>
      <c r="C530" s="330" t="s">
        <v>816</v>
      </c>
      <c r="D530" s="331">
        <v>41.17</v>
      </c>
      <c r="E530" s="331">
        <v>0</v>
      </c>
      <c r="F530" s="331">
        <v>10.66</v>
      </c>
      <c r="G530" s="331">
        <v>10.78</v>
      </c>
      <c r="H530" s="331">
        <v>2.97</v>
      </c>
      <c r="I530" s="331"/>
      <c r="J530" s="165" t="s">
        <v>1105</v>
      </c>
      <c r="K530" s="165">
        <v>9.9347563999999995</v>
      </c>
      <c r="L530" s="165">
        <v>3.01</v>
      </c>
      <c r="M530" s="169">
        <v>15</v>
      </c>
      <c r="N530" s="169" t="s">
        <v>817</v>
      </c>
    </row>
    <row r="531" spans="1:14" ht="15">
      <c r="A531" s="4" t="s">
        <v>576</v>
      </c>
      <c r="B531" s="4" t="s">
        <v>2017</v>
      </c>
      <c r="C531" s="330" t="s">
        <v>816</v>
      </c>
      <c r="D531" s="331">
        <v>41.17</v>
      </c>
      <c r="E531" s="331">
        <v>0</v>
      </c>
      <c r="F531" s="331">
        <v>10.66</v>
      </c>
      <c r="G531" s="331">
        <v>10.78</v>
      </c>
      <c r="H531" s="331">
        <v>2.97</v>
      </c>
      <c r="I531" s="331">
        <v>30</v>
      </c>
      <c r="J531" s="165" t="s">
        <v>1105</v>
      </c>
      <c r="K531" s="165">
        <v>9.9347563999999995</v>
      </c>
      <c r="L531" s="165">
        <v>3.01</v>
      </c>
      <c r="M531" s="167">
        <v>15</v>
      </c>
      <c r="N531" s="166" t="s">
        <v>817</v>
      </c>
    </row>
    <row r="532" spans="1:14" ht="15">
      <c r="A532" s="4" t="s">
        <v>615</v>
      </c>
      <c r="B532" s="4" t="s">
        <v>274</v>
      </c>
      <c r="C532" s="330" t="s">
        <v>816</v>
      </c>
      <c r="D532" s="331">
        <v>16.100000000000001</v>
      </c>
      <c r="E532" s="331">
        <v>0</v>
      </c>
      <c r="F532" s="331">
        <v>6.4</v>
      </c>
      <c r="G532" s="331">
        <v>14.3</v>
      </c>
      <c r="H532" s="331">
        <v>0</v>
      </c>
      <c r="I532" s="331"/>
      <c r="J532" s="165" t="s">
        <v>1105</v>
      </c>
      <c r="K532" s="165">
        <v>18.914556600000001</v>
      </c>
      <c r="L532" s="165">
        <v>3</v>
      </c>
      <c r="M532" s="167">
        <v>25</v>
      </c>
      <c r="N532" s="166" t="s">
        <v>817</v>
      </c>
    </row>
    <row r="533" spans="1:14" ht="15">
      <c r="A533" s="4" t="s">
        <v>663</v>
      </c>
      <c r="B533" s="4" t="s">
        <v>2018</v>
      </c>
      <c r="C533" s="330" t="s">
        <v>816</v>
      </c>
      <c r="D533" s="331">
        <v>2.2599999999999998</v>
      </c>
      <c r="E533" s="331">
        <v>0.02</v>
      </c>
      <c r="F533" s="331">
        <v>4.18</v>
      </c>
      <c r="G533" s="331">
        <v>0.5</v>
      </c>
      <c r="H533" s="331">
        <v>1.39</v>
      </c>
      <c r="I533" s="331"/>
      <c r="J533" s="165" t="s">
        <v>1105</v>
      </c>
      <c r="K533" s="165">
        <v>27.055021499999999</v>
      </c>
      <c r="L533" s="165">
        <v>0.95</v>
      </c>
      <c r="M533" s="167">
        <v>200</v>
      </c>
      <c r="N533" s="166" t="s">
        <v>817</v>
      </c>
    </row>
    <row r="534" spans="1:14" ht="15">
      <c r="A534" s="4" t="s">
        <v>664</v>
      </c>
      <c r="B534" s="4" t="s">
        <v>479</v>
      </c>
      <c r="C534" s="330" t="s">
        <v>816</v>
      </c>
      <c r="D534" s="331">
        <v>20</v>
      </c>
      <c r="E534" s="331">
        <v>0</v>
      </c>
      <c r="F534" s="331">
        <v>20</v>
      </c>
      <c r="G534" s="331">
        <v>20</v>
      </c>
      <c r="H534" s="331">
        <v>0</v>
      </c>
      <c r="I534" s="331">
        <v>60</v>
      </c>
      <c r="J534" s="165" t="s">
        <v>1105</v>
      </c>
      <c r="K534" s="165">
        <v>10</v>
      </c>
      <c r="L534" s="165">
        <v>6</v>
      </c>
      <c r="M534" s="167">
        <v>25</v>
      </c>
      <c r="N534" s="166" t="s">
        <v>817</v>
      </c>
    </row>
    <row r="535" spans="1:14" ht="15">
      <c r="A535" s="4" t="s">
        <v>774</v>
      </c>
      <c r="B535" s="4" t="s">
        <v>126</v>
      </c>
      <c r="C535" s="330" t="s">
        <v>816</v>
      </c>
      <c r="D535" s="331">
        <v>90</v>
      </c>
      <c r="E535" s="331">
        <v>0</v>
      </c>
      <c r="F535" s="331">
        <v>0</v>
      </c>
      <c r="G535" s="331">
        <v>0</v>
      </c>
      <c r="H535" s="331">
        <v>0</v>
      </c>
      <c r="I535" s="331"/>
      <c r="J535" s="165" t="s">
        <v>1105</v>
      </c>
      <c r="K535" s="165">
        <v>4.5</v>
      </c>
      <c r="L535" s="165">
        <v>3</v>
      </c>
      <c r="M535" s="167">
        <v>20</v>
      </c>
      <c r="N535" s="166" t="s">
        <v>817</v>
      </c>
    </row>
    <row r="536" spans="1:14" ht="15">
      <c r="A536" s="4"/>
      <c r="B536" s="4" t="s">
        <v>2019</v>
      </c>
      <c r="C536" s="334" t="s">
        <v>816</v>
      </c>
      <c r="D536" s="331">
        <v>5.2</v>
      </c>
      <c r="E536" s="331">
        <v>0.5</v>
      </c>
      <c r="F536" s="331">
        <v>3.6</v>
      </c>
      <c r="G536" s="331">
        <v>12.8</v>
      </c>
      <c r="H536" s="331">
        <v>0</v>
      </c>
      <c r="I536" s="331">
        <v>25</v>
      </c>
      <c r="J536" s="165" t="s">
        <v>801</v>
      </c>
      <c r="K536" s="165">
        <v>17.702127699999998</v>
      </c>
      <c r="L536" s="165">
        <v>4.8099999999999996</v>
      </c>
      <c r="M536" s="167">
        <v>200</v>
      </c>
      <c r="N536" s="166" t="s">
        <v>817</v>
      </c>
    </row>
    <row r="537" spans="1:14" ht="15">
      <c r="A537" s="4"/>
      <c r="B537" s="4" t="s">
        <v>2020</v>
      </c>
      <c r="C537" s="334" t="s">
        <v>816</v>
      </c>
      <c r="D537" s="331">
        <v>8</v>
      </c>
      <c r="E537" s="331">
        <v>0</v>
      </c>
      <c r="F537" s="331">
        <v>6</v>
      </c>
      <c r="G537" s="331">
        <v>20</v>
      </c>
      <c r="H537" s="331">
        <v>1</v>
      </c>
      <c r="I537" s="331">
        <v>25</v>
      </c>
      <c r="J537" s="165" t="s">
        <v>801</v>
      </c>
      <c r="K537" s="165">
        <v>16</v>
      </c>
      <c r="L537" s="165">
        <v>4.8099999999999996</v>
      </c>
      <c r="M537" s="167">
        <v>200</v>
      </c>
      <c r="N537" s="166" t="s">
        <v>817</v>
      </c>
    </row>
    <row r="538" spans="1:14" ht="15">
      <c r="A538" s="4"/>
      <c r="B538" s="4" t="s">
        <v>2021</v>
      </c>
      <c r="C538" s="334" t="s">
        <v>816</v>
      </c>
      <c r="D538" s="331">
        <v>7.3</v>
      </c>
      <c r="E538" s="331">
        <v>2.2000000000000002</v>
      </c>
      <c r="F538" s="331">
        <v>5.35</v>
      </c>
      <c r="G538" s="331">
        <v>17.63</v>
      </c>
      <c r="H538" s="331">
        <v>1.83</v>
      </c>
      <c r="I538" s="331">
        <v>25</v>
      </c>
      <c r="J538" s="165" t="s">
        <v>801</v>
      </c>
      <c r="K538" s="165">
        <v>22.901960800000001</v>
      </c>
      <c r="L538" s="165">
        <v>4.8099999999999996</v>
      </c>
      <c r="M538" s="167">
        <v>200</v>
      </c>
      <c r="N538" s="166" t="s">
        <v>817</v>
      </c>
    </row>
    <row r="539" spans="1:14" ht="15">
      <c r="A539" s="4"/>
      <c r="B539" s="4" t="s">
        <v>2022</v>
      </c>
      <c r="C539" s="334" t="s">
        <v>816</v>
      </c>
      <c r="D539" s="331">
        <v>7.3</v>
      </c>
      <c r="E539" s="331">
        <v>2.2000000000000002</v>
      </c>
      <c r="F539" s="331">
        <v>5.04</v>
      </c>
      <c r="G539" s="331">
        <v>13.86</v>
      </c>
      <c r="H539" s="331">
        <v>1.82</v>
      </c>
      <c r="I539" s="331">
        <v>25</v>
      </c>
      <c r="J539" s="165" t="s">
        <v>801</v>
      </c>
      <c r="K539" s="165">
        <v>22.901960800000001</v>
      </c>
      <c r="L539" s="165">
        <v>4.8099999999999996</v>
      </c>
      <c r="M539" s="167">
        <v>200</v>
      </c>
      <c r="N539" s="166" t="s">
        <v>817</v>
      </c>
    </row>
    <row r="540" spans="1:14" ht="15">
      <c r="A540" s="4"/>
      <c r="B540" s="4" t="s">
        <v>2023</v>
      </c>
      <c r="C540" s="334" t="s">
        <v>816</v>
      </c>
      <c r="D540" s="331">
        <v>5.84</v>
      </c>
      <c r="E540" s="331">
        <v>0.39</v>
      </c>
      <c r="F540" s="331">
        <v>10.98</v>
      </c>
      <c r="G540" s="331">
        <v>5.59</v>
      </c>
      <c r="H540" s="331">
        <v>1.99</v>
      </c>
      <c r="I540" s="331">
        <v>25</v>
      </c>
      <c r="J540" s="165" t="s">
        <v>801</v>
      </c>
      <c r="K540" s="165">
        <v>17.1449541</v>
      </c>
      <c r="L540" s="165">
        <v>4.8099999999999996</v>
      </c>
      <c r="M540" s="167">
        <v>200</v>
      </c>
      <c r="N540" s="166" t="s">
        <v>817</v>
      </c>
    </row>
    <row r="541" spans="1:14">
      <c r="B541" s="3" t="s">
        <v>819</v>
      </c>
    </row>
  </sheetData>
  <sheetProtection algorithmName="SHA-512" hashValue="PISkmk7QFzdyPWsvUnPn5YFSQrNz9VvXV2MbVOQeihp3i/exU7BwaVFddPHJYr7vF/uY2EPcBxNF90BGlECZyw==" saltValue="zQw8aEhUAxFx/xdJWM5lTQ==" spinCount="100000" sheet="1" objects="1" scenarios="1"/>
  <sortState ref="A2:L573">
    <sortCondition ref="B2:B573"/>
  </sortState>
  <customSheetViews>
    <customSheetView guid="{0E46878E-35A0-4520-9188-2905702DCB38}">
      <selection activeCell="K6" sqref="K6"/>
      <pageMargins left="0.7" right="0.7" top="0.78740157499999996" bottom="0.78740157499999996" header="0.3" footer="0.3"/>
      <pageSetup paperSize="9" orientation="portrait" horizontalDpi="1200" verticalDpi="1200" r:id="rId1"/>
    </customSheetView>
  </customSheetViews>
  <conditionalFormatting sqref="C1 C12:D1048576">
    <cfRule type="cellIs" dxfId="34" priority="3" operator="equal">
      <formula>"l/ha"</formula>
    </cfRule>
    <cfRule type="cellIs" dxfId="33" priority="4" operator="equal">
      <formula>"m³/ha"</formula>
    </cfRule>
  </conditionalFormatting>
  <conditionalFormatting sqref="D1:I1">
    <cfRule type="cellIs" dxfId="32" priority="1" operator="equal">
      <formula>"l/ha"</formula>
    </cfRule>
    <cfRule type="cellIs" dxfId="31" priority="2" operator="equal">
      <formula>"m³/ha"</formula>
    </cfRule>
  </conditionalFormatting>
  <dataValidations count="2">
    <dataValidation type="whole" allowBlank="1" showInputMessage="1" showErrorMessage="1" sqref="E2:E11">
      <formula1>0</formula1>
      <formula2>100</formula2>
    </dataValidation>
    <dataValidation type="list" allowBlank="1" showInputMessage="1" showErrorMessage="1" sqref="C2:C11">
      <formula1>$C$18:$C$19</formula1>
    </dataValidation>
  </dataValidations>
  <pageMargins left="0.78740157480314965" right="0.39370078740157483" top="0.78740157480314965" bottom="0.39370078740157483" header="0.31496062992125984" footer="0.11811023622047245"/>
  <pageSetup paperSize="9" scale="69" fitToHeight="11" orientation="portrait" r:id="rId2"/>
  <headerFooter>
    <oddHeader xml:space="preserve">&amp;L&amp;8Dienstleistungszentrum Ländlicher Raum (DLR) - Rheinpfalz, Breitenweg 71, 67435 Neustadt/Weinstraße
Alle Angaben ohne Gewähr. </oddHeader>
    <oddFooter>&amp;C&amp;P</oddFooter>
  </headerFooter>
  <drawing r:id="rId3"/>
  <legacyDrawing r:id="rId4"/>
  <tableParts count="1">
    <tablePart r:id="rId5"/>
  </tableParts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8">
    <pageSetUpPr fitToPage="1"/>
  </sheetPr>
  <dimension ref="A1:P48"/>
  <sheetViews>
    <sheetView topLeftCell="B1" workbookViewId="0">
      <pane ySplit="1" topLeftCell="A2" activePane="bottomLeft" state="frozen"/>
      <selection activeCell="N12" sqref="N12"/>
      <selection pane="bottomLeft" activeCell="G17" sqref="G17"/>
    </sheetView>
  </sheetViews>
  <sheetFormatPr baseColWidth="10" defaultRowHeight="12.75"/>
  <cols>
    <col min="1" max="1" width="12.5703125" style="3" hidden="1" customWidth="1"/>
    <col min="2" max="2" width="60.7109375" style="3" customWidth="1"/>
    <col min="3" max="3" width="13.7109375" style="168" hidden="1" customWidth="1"/>
    <col min="4" max="4" width="11.140625" style="312" customWidth="1"/>
    <col min="5" max="5" width="10.85546875" style="312" customWidth="1"/>
    <col min="6" max="6" width="12" style="312" customWidth="1"/>
    <col min="7" max="7" width="10.85546875" style="312" customWidth="1"/>
    <col min="8" max="8" width="10.7109375" style="312" customWidth="1"/>
    <col min="9" max="9" width="12.5703125" style="312" customWidth="1"/>
    <col min="10" max="10" width="12.42578125" style="168" hidden="1" customWidth="1"/>
    <col min="11" max="11" width="9.28515625" style="168" hidden="1" customWidth="1"/>
    <col min="12" max="12" width="9.28515625" style="312" hidden="1" customWidth="1"/>
    <col min="13" max="13" width="9.28515625" style="313" hidden="1" customWidth="1"/>
    <col min="14" max="14" width="32.42578125" style="3" customWidth="1"/>
    <col min="15" max="15" width="21.85546875" style="3" customWidth="1"/>
    <col min="16" max="16" width="15.85546875" style="3" customWidth="1"/>
    <col min="17" max="16384" width="11.42578125" style="3"/>
  </cols>
  <sheetData>
    <row r="1" spans="1:16" s="112" customFormat="1" ht="75.75" customHeight="1">
      <c r="A1" s="110" t="s">
        <v>9</v>
      </c>
      <c r="B1" s="188" t="s">
        <v>10</v>
      </c>
      <c r="C1" s="161" t="s">
        <v>1277</v>
      </c>
      <c r="D1" s="336" t="s">
        <v>2061</v>
      </c>
      <c r="E1" s="336" t="s">
        <v>2062</v>
      </c>
      <c r="F1" s="336" t="s">
        <v>2063</v>
      </c>
      <c r="G1" s="336" t="s">
        <v>2064</v>
      </c>
      <c r="H1" s="336" t="s">
        <v>2060</v>
      </c>
      <c r="I1" s="336" t="s">
        <v>2065</v>
      </c>
      <c r="J1" s="161" t="s">
        <v>1104</v>
      </c>
      <c r="K1" s="161" t="s">
        <v>11</v>
      </c>
      <c r="L1" s="111" t="s">
        <v>12</v>
      </c>
      <c r="M1" s="308" t="s">
        <v>13</v>
      </c>
      <c r="O1" s="280" t="s">
        <v>1613</v>
      </c>
      <c r="P1" s="281" t="s">
        <v>1610</v>
      </c>
    </row>
    <row r="2" spans="1:16" ht="15">
      <c r="A2" s="107"/>
      <c r="B2" s="282" t="s">
        <v>1615</v>
      </c>
      <c r="C2" s="283"/>
      <c r="D2" s="295"/>
      <c r="E2" s="295"/>
      <c r="F2" s="295"/>
      <c r="G2" s="295"/>
      <c r="H2" s="295"/>
      <c r="I2" s="295"/>
      <c r="J2" s="163"/>
      <c r="K2" s="163"/>
      <c r="L2" s="109"/>
      <c r="M2" s="309"/>
      <c r="O2" s="5" t="s">
        <v>1612</v>
      </c>
      <c r="P2" s="167">
        <v>10</v>
      </c>
    </row>
    <row r="3" spans="1:16" ht="15">
      <c r="A3" s="54"/>
      <c r="B3" s="282" t="s">
        <v>1616</v>
      </c>
      <c r="C3" s="285"/>
      <c r="D3" s="296"/>
      <c r="E3" s="296"/>
      <c r="F3" s="296"/>
      <c r="G3" s="296"/>
      <c r="H3" s="296"/>
      <c r="I3" s="296"/>
      <c r="J3" s="164"/>
      <c r="K3" s="164"/>
      <c r="L3" s="55"/>
      <c r="M3" s="309"/>
      <c r="O3" s="5" t="s">
        <v>1611</v>
      </c>
      <c r="P3" s="167">
        <v>5</v>
      </c>
    </row>
    <row r="4" spans="1:16" ht="15">
      <c r="A4" s="54"/>
      <c r="B4" s="282" t="s">
        <v>1617</v>
      </c>
      <c r="C4" s="285"/>
      <c r="D4" s="296"/>
      <c r="E4" s="296"/>
      <c r="F4" s="296"/>
      <c r="G4" s="296"/>
      <c r="H4" s="296"/>
      <c r="I4" s="296"/>
      <c r="J4" s="164"/>
      <c r="K4" s="164"/>
      <c r="L4" s="55"/>
      <c r="M4" s="309"/>
      <c r="O4" s="5" t="s">
        <v>813</v>
      </c>
      <c r="P4" s="167">
        <v>3</v>
      </c>
    </row>
    <row r="5" spans="1:16" ht="15">
      <c r="A5" s="54"/>
      <c r="B5" s="282" t="s">
        <v>1618</v>
      </c>
      <c r="C5" s="285"/>
      <c r="D5" s="296"/>
      <c r="E5" s="296"/>
      <c r="F5" s="296"/>
      <c r="G5" s="296"/>
      <c r="H5" s="296"/>
      <c r="I5" s="296"/>
      <c r="J5" s="164"/>
      <c r="K5" s="164"/>
      <c r="L5" s="55"/>
      <c r="M5" s="309"/>
      <c r="O5" s="5" t="s">
        <v>803</v>
      </c>
      <c r="P5" s="167">
        <v>5</v>
      </c>
    </row>
    <row r="6" spans="1:16" ht="15">
      <c r="A6" s="54"/>
      <c r="B6" s="282" t="s">
        <v>1619</v>
      </c>
      <c r="C6" s="285"/>
      <c r="D6" s="296"/>
      <c r="E6" s="296"/>
      <c r="F6" s="296"/>
      <c r="G6" s="296"/>
      <c r="H6" s="296"/>
      <c r="I6" s="296"/>
      <c r="J6" s="164"/>
      <c r="K6" s="164"/>
      <c r="L6" s="55"/>
      <c r="M6" s="309"/>
      <c r="O6" s="167"/>
    </row>
    <row r="7" spans="1:16" ht="15">
      <c r="A7" s="4" t="s">
        <v>546</v>
      </c>
      <c r="B7" s="282" t="s">
        <v>1620</v>
      </c>
      <c r="C7" s="285"/>
      <c r="D7" s="296"/>
      <c r="E7" s="296"/>
      <c r="F7" s="296"/>
      <c r="G7" s="296"/>
      <c r="H7" s="296"/>
      <c r="I7" s="296"/>
      <c r="J7" s="165"/>
      <c r="K7" s="310"/>
      <c r="L7" s="311"/>
      <c r="M7" s="309"/>
      <c r="O7" s="167"/>
    </row>
    <row r="8" spans="1:16" ht="15">
      <c r="A8" s="4" t="s">
        <v>782</v>
      </c>
      <c r="B8" s="282" t="s">
        <v>1621</v>
      </c>
      <c r="C8" s="285"/>
      <c r="D8" s="296"/>
      <c r="E8" s="296"/>
      <c r="F8" s="296"/>
      <c r="G8" s="296"/>
      <c r="H8" s="296"/>
      <c r="I8" s="296"/>
      <c r="J8" s="165"/>
      <c r="K8" s="310"/>
      <c r="L8" s="311"/>
      <c r="M8" s="309"/>
      <c r="O8" s="167"/>
    </row>
    <row r="9" spans="1:16" ht="15">
      <c r="A9" s="4" t="s">
        <v>37</v>
      </c>
      <c r="B9" s="282" t="s">
        <v>1622</v>
      </c>
      <c r="C9" s="285"/>
      <c r="D9" s="296"/>
      <c r="E9" s="296"/>
      <c r="F9" s="296"/>
      <c r="G9" s="296"/>
      <c r="H9" s="296"/>
      <c r="I9" s="296"/>
      <c r="J9" s="165"/>
      <c r="K9" s="310"/>
      <c r="L9" s="311"/>
      <c r="M9" s="309"/>
      <c r="O9" s="167"/>
    </row>
    <row r="10" spans="1:16" ht="15">
      <c r="A10" s="4" t="s">
        <v>622</v>
      </c>
      <c r="B10" s="282" t="s">
        <v>1623</v>
      </c>
      <c r="C10" s="285"/>
      <c r="D10" s="296"/>
      <c r="E10" s="296"/>
      <c r="F10" s="296"/>
      <c r="G10" s="296"/>
      <c r="H10" s="296"/>
      <c r="I10" s="296"/>
      <c r="J10" s="165"/>
      <c r="K10" s="310"/>
      <c r="L10" s="311"/>
      <c r="M10" s="309"/>
      <c r="O10" s="167"/>
    </row>
    <row r="11" spans="1:16" ht="15">
      <c r="A11" s="4" t="s">
        <v>68</v>
      </c>
      <c r="B11" s="282" t="s">
        <v>1624</v>
      </c>
      <c r="C11" s="287"/>
      <c r="D11" s="297"/>
      <c r="E11" s="297"/>
      <c r="F11" s="297"/>
      <c r="G11" s="297"/>
      <c r="H11" s="297"/>
      <c r="I11" s="297"/>
      <c r="J11" s="165"/>
      <c r="L11" s="311"/>
      <c r="M11" s="309"/>
      <c r="O11" s="167"/>
    </row>
    <row r="12" spans="1:16" ht="15">
      <c r="A12" s="4" t="s">
        <v>514</v>
      </c>
      <c r="B12" s="4" t="s">
        <v>2027</v>
      </c>
      <c r="C12" s="165"/>
      <c r="D12" s="331">
        <v>8.1999999999999993</v>
      </c>
      <c r="E12" s="331">
        <v>0.2</v>
      </c>
      <c r="F12" s="331">
        <v>4.7</v>
      </c>
      <c r="G12" s="331">
        <v>6</v>
      </c>
      <c r="H12" s="331">
        <v>0</v>
      </c>
      <c r="I12" s="331">
        <v>10</v>
      </c>
      <c r="J12" s="165" t="s">
        <v>1103</v>
      </c>
      <c r="K12" s="168">
        <v>16.400086999999999</v>
      </c>
      <c r="L12" s="311">
        <v>5</v>
      </c>
      <c r="M12" s="309">
        <v>200</v>
      </c>
      <c r="O12" s="167"/>
    </row>
    <row r="13" spans="1:16" ht="15">
      <c r="A13" s="4" t="s">
        <v>646</v>
      </c>
      <c r="B13" s="4" t="s">
        <v>2028</v>
      </c>
      <c r="C13" s="165"/>
      <c r="D13" s="331">
        <v>6.9</v>
      </c>
      <c r="E13" s="331">
        <v>0.2</v>
      </c>
      <c r="F13" s="331">
        <v>4.0999999999999996</v>
      </c>
      <c r="G13" s="331">
        <v>10.1</v>
      </c>
      <c r="H13" s="331">
        <v>2.4</v>
      </c>
      <c r="I13" s="331">
        <v>10</v>
      </c>
      <c r="J13" s="165" t="s">
        <v>1103</v>
      </c>
      <c r="K13" s="168">
        <v>16.4776466</v>
      </c>
      <c r="L13" s="311">
        <v>5</v>
      </c>
      <c r="M13" s="309">
        <v>200</v>
      </c>
      <c r="O13" s="167"/>
    </row>
    <row r="14" spans="1:16" ht="15">
      <c r="A14" s="4" t="s">
        <v>647</v>
      </c>
      <c r="B14" s="4" t="s">
        <v>2029</v>
      </c>
      <c r="C14" s="165"/>
      <c r="D14" s="331">
        <v>7.95</v>
      </c>
      <c r="E14" s="331">
        <v>0.11</v>
      </c>
      <c r="F14" s="331">
        <v>7.65</v>
      </c>
      <c r="G14" s="331">
        <v>9.1300000000000008</v>
      </c>
      <c r="H14" s="331">
        <v>5.29</v>
      </c>
      <c r="I14" s="331">
        <v>10</v>
      </c>
      <c r="J14" s="165" t="s">
        <v>1103</v>
      </c>
      <c r="K14" s="168">
        <v>16.071132599999999</v>
      </c>
      <c r="L14" s="311">
        <v>5</v>
      </c>
      <c r="M14" s="309">
        <v>200</v>
      </c>
      <c r="O14" s="167"/>
    </row>
    <row r="15" spans="1:16" ht="15">
      <c r="A15" s="4" t="s">
        <v>569</v>
      </c>
      <c r="B15" s="4" t="s">
        <v>2030</v>
      </c>
      <c r="C15" s="165"/>
      <c r="D15" s="331">
        <v>6.9</v>
      </c>
      <c r="E15" s="331">
        <v>0</v>
      </c>
      <c r="F15" s="331">
        <v>7.56</v>
      </c>
      <c r="G15" s="331">
        <v>11.09</v>
      </c>
      <c r="H15" s="331">
        <v>1.33</v>
      </c>
      <c r="I15" s="331">
        <v>10</v>
      </c>
      <c r="J15" s="165" t="s">
        <v>1103</v>
      </c>
      <c r="K15" s="168">
        <v>16.000033599999998</v>
      </c>
      <c r="L15" s="311">
        <v>5</v>
      </c>
      <c r="M15" s="309">
        <v>200</v>
      </c>
      <c r="O15" s="167"/>
    </row>
    <row r="16" spans="1:16" ht="15">
      <c r="A16" s="4" t="s">
        <v>39</v>
      </c>
      <c r="B16" s="4" t="s">
        <v>2031</v>
      </c>
      <c r="C16" s="165"/>
      <c r="D16" s="331">
        <v>13.19</v>
      </c>
      <c r="E16" s="331">
        <v>0.81</v>
      </c>
      <c r="F16" s="331">
        <v>15.29</v>
      </c>
      <c r="G16" s="331">
        <v>13.49</v>
      </c>
      <c r="H16" s="331">
        <v>6.56</v>
      </c>
      <c r="I16" s="331">
        <v>5</v>
      </c>
      <c r="J16" s="165" t="s">
        <v>803</v>
      </c>
      <c r="K16" s="168">
        <v>13.452578600000001</v>
      </c>
      <c r="L16" s="311">
        <v>3.03</v>
      </c>
      <c r="M16" s="309">
        <v>250</v>
      </c>
      <c r="O16" s="167"/>
    </row>
    <row r="17" spans="1:15" ht="15">
      <c r="A17" s="4" t="s">
        <v>53</v>
      </c>
      <c r="B17" s="4" t="s">
        <v>2032</v>
      </c>
      <c r="C17" s="165"/>
      <c r="D17" s="331">
        <v>8.5</v>
      </c>
      <c r="E17" s="331">
        <v>0</v>
      </c>
      <c r="F17" s="331">
        <v>5.4</v>
      </c>
      <c r="G17" s="331">
        <v>7.9</v>
      </c>
      <c r="H17" s="331">
        <v>10</v>
      </c>
      <c r="I17" s="331">
        <v>5</v>
      </c>
      <c r="J17" s="165" t="s">
        <v>803</v>
      </c>
      <c r="K17" s="168">
        <v>15</v>
      </c>
      <c r="L17" s="311">
        <v>6</v>
      </c>
      <c r="M17" s="309">
        <v>200</v>
      </c>
      <c r="O17" s="166" t="s">
        <v>819</v>
      </c>
    </row>
    <row r="18" spans="1:15" ht="15">
      <c r="A18" s="4" t="s">
        <v>35</v>
      </c>
      <c r="B18" s="4" t="s">
        <v>2033</v>
      </c>
      <c r="C18" s="165"/>
      <c r="D18" s="331">
        <v>7.7</v>
      </c>
      <c r="E18" s="331">
        <v>0.4</v>
      </c>
      <c r="F18" s="331">
        <v>4.3499999999999996</v>
      </c>
      <c r="G18" s="331">
        <v>7.47</v>
      </c>
      <c r="H18" s="331">
        <v>5.64</v>
      </c>
      <c r="I18" s="331">
        <v>5</v>
      </c>
      <c r="J18" s="165" t="s">
        <v>803</v>
      </c>
      <c r="K18" s="168">
        <v>26.369862999999999</v>
      </c>
      <c r="L18" s="311">
        <v>6</v>
      </c>
      <c r="M18" s="309">
        <v>200</v>
      </c>
      <c r="O18" s="167"/>
    </row>
    <row r="19" spans="1:15" ht="15">
      <c r="A19" s="4" t="s">
        <v>609</v>
      </c>
      <c r="B19" s="4" t="s">
        <v>2034</v>
      </c>
      <c r="C19" s="165"/>
      <c r="D19" s="331">
        <v>7.7</v>
      </c>
      <c r="E19" s="331">
        <v>0.4</v>
      </c>
      <c r="F19" s="331">
        <v>4.3499999999999996</v>
      </c>
      <c r="G19" s="331">
        <v>7.47</v>
      </c>
      <c r="H19" s="331">
        <v>5.64</v>
      </c>
      <c r="I19" s="331">
        <v>5</v>
      </c>
      <c r="J19" s="165" t="s">
        <v>803</v>
      </c>
      <c r="K19" s="168">
        <v>26.369862999999999</v>
      </c>
      <c r="L19" s="311">
        <v>6</v>
      </c>
      <c r="M19" s="309">
        <v>200</v>
      </c>
      <c r="O19" s="167"/>
    </row>
    <row r="20" spans="1:15" ht="15">
      <c r="A20" s="4" t="s">
        <v>786</v>
      </c>
      <c r="B20" s="4" t="s">
        <v>2035</v>
      </c>
      <c r="C20" s="165"/>
      <c r="D20" s="331">
        <v>8.8000000000000007</v>
      </c>
      <c r="E20" s="331">
        <v>0.4</v>
      </c>
      <c r="F20" s="331">
        <v>4.4000000000000004</v>
      </c>
      <c r="G20" s="331">
        <v>6.7</v>
      </c>
      <c r="H20" s="331">
        <v>0</v>
      </c>
      <c r="I20" s="331">
        <v>5</v>
      </c>
      <c r="J20" s="165" t="s">
        <v>803</v>
      </c>
      <c r="K20" s="168">
        <v>26.190476199999999</v>
      </c>
      <c r="L20" s="311">
        <v>6</v>
      </c>
      <c r="M20" s="309">
        <v>200</v>
      </c>
    </row>
    <row r="21" spans="1:15" ht="15">
      <c r="A21" s="4" t="s">
        <v>513</v>
      </c>
      <c r="B21" s="4" t="s">
        <v>2036</v>
      </c>
      <c r="C21" s="165"/>
      <c r="D21" s="331">
        <v>8.6199999999999992</v>
      </c>
      <c r="E21" s="331">
        <v>0.7</v>
      </c>
      <c r="F21" s="331">
        <v>4.4000000000000004</v>
      </c>
      <c r="G21" s="331">
        <v>7.38</v>
      </c>
      <c r="H21" s="331">
        <v>4.67</v>
      </c>
      <c r="I21" s="331">
        <v>5</v>
      </c>
      <c r="J21" s="165" t="s">
        <v>803</v>
      </c>
      <c r="K21" s="168">
        <v>21.772979200000002</v>
      </c>
      <c r="L21" s="311">
        <v>6</v>
      </c>
      <c r="M21" s="309">
        <v>200</v>
      </c>
    </row>
    <row r="22" spans="1:15" ht="15">
      <c r="A22" s="4" t="s">
        <v>568</v>
      </c>
      <c r="B22" s="4" t="s">
        <v>2037</v>
      </c>
      <c r="C22" s="165"/>
      <c r="D22" s="331">
        <v>12.38</v>
      </c>
      <c r="E22" s="331">
        <v>0.26</v>
      </c>
      <c r="F22" s="331">
        <v>4.95</v>
      </c>
      <c r="G22" s="331">
        <v>7.08</v>
      </c>
      <c r="H22" s="331">
        <v>4.4800000000000004</v>
      </c>
      <c r="I22" s="331">
        <v>5</v>
      </c>
      <c r="J22" s="165" t="s">
        <v>803</v>
      </c>
      <c r="K22" s="168">
        <v>19.438733299999999</v>
      </c>
      <c r="L22" s="311">
        <v>3</v>
      </c>
      <c r="M22" s="309">
        <v>25</v>
      </c>
    </row>
    <row r="23" spans="1:15" ht="15">
      <c r="A23" s="4" t="s">
        <v>648</v>
      </c>
      <c r="B23" s="4" t="s">
        <v>2038</v>
      </c>
      <c r="C23" s="165"/>
      <c r="D23" s="331">
        <v>11.17</v>
      </c>
      <c r="E23" s="331">
        <v>0.72</v>
      </c>
      <c r="F23" s="331">
        <v>21.93</v>
      </c>
      <c r="G23" s="331">
        <v>13.35</v>
      </c>
      <c r="H23" s="331">
        <v>4.53</v>
      </c>
      <c r="I23" s="331">
        <v>5</v>
      </c>
      <c r="J23" s="165" t="s">
        <v>803</v>
      </c>
      <c r="K23" s="168">
        <v>9.2590947900000007</v>
      </c>
      <c r="L23" s="311">
        <v>5</v>
      </c>
      <c r="M23" s="309">
        <v>25</v>
      </c>
    </row>
    <row r="24" spans="1:15" ht="15">
      <c r="A24" s="4" t="s">
        <v>649</v>
      </c>
      <c r="B24" s="4" t="s">
        <v>2039</v>
      </c>
      <c r="C24" s="165"/>
      <c r="D24" s="331">
        <v>9.8000000000000007</v>
      </c>
      <c r="E24" s="331">
        <v>0.6</v>
      </c>
      <c r="F24" s="331">
        <v>5.0999999999999996</v>
      </c>
      <c r="G24" s="331">
        <v>8</v>
      </c>
      <c r="H24" s="331">
        <v>5.3</v>
      </c>
      <c r="I24" s="331">
        <v>5</v>
      </c>
      <c r="J24" s="165" t="s">
        <v>803</v>
      </c>
      <c r="K24" s="168">
        <v>21.3040956</v>
      </c>
      <c r="L24" s="311">
        <v>6</v>
      </c>
      <c r="M24" s="309">
        <v>200</v>
      </c>
    </row>
    <row r="25" spans="1:15" ht="15">
      <c r="A25" s="4" t="s">
        <v>608</v>
      </c>
      <c r="B25" s="4" t="s">
        <v>2040</v>
      </c>
      <c r="C25" s="165"/>
      <c r="D25" s="331">
        <v>9.8800000000000008</v>
      </c>
      <c r="E25" s="331">
        <v>7.0000000000000007E-2</v>
      </c>
      <c r="F25" s="331">
        <v>4.72</v>
      </c>
      <c r="G25" s="331">
        <v>6.7</v>
      </c>
      <c r="H25" s="331">
        <v>4.96</v>
      </c>
      <c r="I25" s="331">
        <v>5</v>
      </c>
      <c r="J25" s="165" t="s">
        <v>803</v>
      </c>
      <c r="K25" s="168">
        <v>18.262296899999999</v>
      </c>
      <c r="L25" s="311">
        <v>6</v>
      </c>
      <c r="M25" s="309">
        <v>200</v>
      </c>
    </row>
    <row r="26" spans="1:15" ht="15">
      <c r="A26" s="4" t="s">
        <v>797</v>
      </c>
      <c r="B26" s="4" t="s">
        <v>2041</v>
      </c>
      <c r="C26" s="165"/>
      <c r="D26" s="331">
        <v>6.6</v>
      </c>
      <c r="E26" s="331">
        <v>0</v>
      </c>
      <c r="F26" s="331">
        <v>3.9</v>
      </c>
      <c r="G26" s="331">
        <v>5.0999999999999996</v>
      </c>
      <c r="H26" s="331">
        <v>8.1999999999999993</v>
      </c>
      <c r="I26" s="331">
        <v>3</v>
      </c>
      <c r="J26" s="165" t="s">
        <v>813</v>
      </c>
      <c r="K26" s="168">
        <v>20.000175800000001</v>
      </c>
      <c r="L26" s="311">
        <v>6</v>
      </c>
      <c r="M26" s="309">
        <v>200</v>
      </c>
    </row>
    <row r="27" spans="1:15" ht="15">
      <c r="A27" s="4" t="s">
        <v>36</v>
      </c>
      <c r="B27" s="4" t="s">
        <v>2042</v>
      </c>
      <c r="C27" s="165"/>
      <c r="D27" s="331">
        <v>7.7</v>
      </c>
      <c r="E27" s="331">
        <v>0.6</v>
      </c>
      <c r="F27" s="331">
        <v>3.3</v>
      </c>
      <c r="G27" s="331">
        <v>3</v>
      </c>
      <c r="H27" s="331">
        <v>0</v>
      </c>
      <c r="I27" s="331">
        <v>3</v>
      </c>
      <c r="J27" s="165" t="s">
        <v>813</v>
      </c>
      <c r="K27" s="168">
        <v>27.112676100000002</v>
      </c>
      <c r="L27" s="311">
        <v>6</v>
      </c>
      <c r="M27" s="309">
        <v>200</v>
      </c>
    </row>
    <row r="28" spans="1:15" ht="15">
      <c r="A28" s="4" t="s">
        <v>512</v>
      </c>
      <c r="B28" s="4" t="s">
        <v>2043</v>
      </c>
      <c r="C28" s="165"/>
      <c r="D28" s="331">
        <v>6.4</v>
      </c>
      <c r="E28" s="331">
        <v>0.4</v>
      </c>
      <c r="F28" s="331">
        <v>3.44</v>
      </c>
      <c r="G28" s="331">
        <v>5.3</v>
      </c>
      <c r="H28" s="331">
        <v>4.3099999999999996</v>
      </c>
      <c r="I28" s="331">
        <v>3</v>
      </c>
      <c r="J28" s="165" t="s">
        <v>813</v>
      </c>
      <c r="K28" s="168">
        <v>32.000193299999999</v>
      </c>
      <c r="L28" s="311">
        <v>6</v>
      </c>
      <c r="M28" s="309">
        <v>200</v>
      </c>
    </row>
    <row r="29" spans="1:15" ht="15">
      <c r="A29" s="4" t="s">
        <v>25</v>
      </c>
      <c r="B29" s="4" t="s">
        <v>2044</v>
      </c>
      <c r="C29" s="165"/>
      <c r="D29" s="331">
        <v>6.4</v>
      </c>
      <c r="E29" s="331">
        <v>0.3</v>
      </c>
      <c r="F29" s="331">
        <v>3.44</v>
      </c>
      <c r="G29" s="331">
        <v>5.3</v>
      </c>
      <c r="H29" s="331">
        <v>4.3099999999999996</v>
      </c>
      <c r="I29" s="331">
        <v>3</v>
      </c>
      <c r="J29" s="165" t="s">
        <v>813</v>
      </c>
      <c r="K29" s="168">
        <v>31.4756</v>
      </c>
      <c r="L29" s="311">
        <v>6</v>
      </c>
      <c r="M29" s="309">
        <v>200</v>
      </c>
    </row>
    <row r="30" spans="1:15" ht="15">
      <c r="A30" s="4" t="s">
        <v>82</v>
      </c>
      <c r="B30" s="4" t="s">
        <v>2045</v>
      </c>
      <c r="C30" s="165"/>
      <c r="D30" s="331">
        <v>7.1</v>
      </c>
      <c r="E30" s="331">
        <v>0.2</v>
      </c>
      <c r="F30" s="331">
        <v>3.1</v>
      </c>
      <c r="G30" s="331">
        <v>6.1</v>
      </c>
      <c r="H30" s="331">
        <v>4.5999999999999996</v>
      </c>
      <c r="I30" s="331">
        <v>5</v>
      </c>
      <c r="J30" s="165" t="s">
        <v>803</v>
      </c>
      <c r="K30" s="168">
        <v>25.724637699999999</v>
      </c>
      <c r="L30" s="311">
        <v>6</v>
      </c>
      <c r="M30" s="309">
        <v>200</v>
      </c>
    </row>
    <row r="31" spans="1:15" ht="15">
      <c r="A31" s="4" t="s">
        <v>644</v>
      </c>
      <c r="B31" s="4" t="s">
        <v>2046</v>
      </c>
      <c r="C31" s="165"/>
      <c r="D31" s="331">
        <v>9.8800000000000008</v>
      </c>
      <c r="E31" s="331">
        <v>0.56000000000000005</v>
      </c>
      <c r="F31" s="331">
        <v>4.72</v>
      </c>
      <c r="G31" s="331">
        <v>6.7</v>
      </c>
      <c r="H31" s="331">
        <v>4.96</v>
      </c>
      <c r="I31" s="331">
        <v>5</v>
      </c>
      <c r="J31" s="165" t="s">
        <v>803</v>
      </c>
      <c r="K31" s="168">
        <v>19.222439099999999</v>
      </c>
      <c r="L31" s="311">
        <v>6</v>
      </c>
      <c r="M31" s="309">
        <v>200</v>
      </c>
    </row>
    <row r="32" spans="1:15" ht="15">
      <c r="A32" s="4" t="s">
        <v>645</v>
      </c>
      <c r="B32" s="4" t="s">
        <v>2047</v>
      </c>
      <c r="C32" s="165"/>
      <c r="D32" s="331">
        <v>12.38</v>
      </c>
      <c r="E32" s="331">
        <v>0.2</v>
      </c>
      <c r="F32" s="331">
        <v>17.57</v>
      </c>
      <c r="G32" s="331">
        <v>15.82</v>
      </c>
      <c r="H32" s="331">
        <v>10.23</v>
      </c>
      <c r="I32" s="331">
        <v>5</v>
      </c>
      <c r="J32" s="165" t="s">
        <v>803</v>
      </c>
      <c r="K32" s="168">
        <v>14.3120973</v>
      </c>
      <c r="L32" s="311">
        <v>6</v>
      </c>
      <c r="M32" s="309">
        <v>200</v>
      </c>
    </row>
    <row r="33" spans="1:13" ht="15">
      <c r="A33" s="4" t="s">
        <v>89</v>
      </c>
      <c r="B33" s="4" t="s">
        <v>2048</v>
      </c>
      <c r="C33" s="165"/>
      <c r="D33" s="331">
        <v>5.5</v>
      </c>
      <c r="E33" s="331">
        <v>0</v>
      </c>
      <c r="F33" s="331">
        <v>0.5</v>
      </c>
      <c r="G33" s="331">
        <v>2</v>
      </c>
      <c r="H33" s="331">
        <v>2</v>
      </c>
      <c r="I33" s="331">
        <v>5</v>
      </c>
      <c r="J33" s="165" t="s">
        <v>803</v>
      </c>
      <c r="K33" s="168">
        <v>12.6555579</v>
      </c>
      <c r="L33" s="311">
        <v>6</v>
      </c>
      <c r="M33" s="309">
        <v>200</v>
      </c>
    </row>
    <row r="34" spans="1:13" ht="15">
      <c r="A34" s="4" t="s">
        <v>515</v>
      </c>
      <c r="B34" s="4" t="s">
        <v>2049</v>
      </c>
      <c r="C34" s="165"/>
      <c r="D34" s="331">
        <v>5.45</v>
      </c>
      <c r="E34" s="331">
        <v>0.28999999999999998</v>
      </c>
      <c r="F34" s="331">
        <v>5.21</v>
      </c>
      <c r="G34" s="331">
        <v>5.86</v>
      </c>
      <c r="H34" s="331">
        <v>12.9</v>
      </c>
      <c r="I34" s="331">
        <v>5</v>
      </c>
      <c r="J34" s="165" t="s">
        <v>803</v>
      </c>
      <c r="K34" s="168">
        <v>10.267720600000001</v>
      </c>
      <c r="L34" s="311">
        <v>5</v>
      </c>
      <c r="M34" s="309">
        <v>200</v>
      </c>
    </row>
    <row r="35" spans="1:13" ht="15">
      <c r="A35" s="4" t="s">
        <v>99</v>
      </c>
      <c r="B35" s="4" t="s">
        <v>2050</v>
      </c>
      <c r="C35" s="165"/>
      <c r="D35" s="331">
        <v>5.61</v>
      </c>
      <c r="E35" s="331">
        <v>0.77</v>
      </c>
      <c r="F35" s="331">
        <v>5.27</v>
      </c>
      <c r="G35" s="331">
        <v>2.02</v>
      </c>
      <c r="H35" s="331">
        <v>2.61</v>
      </c>
      <c r="I35" s="331">
        <v>5</v>
      </c>
      <c r="J35" s="165" t="s">
        <v>803</v>
      </c>
      <c r="K35" s="168">
        <v>10.867481</v>
      </c>
      <c r="L35" s="311">
        <v>4.84</v>
      </c>
      <c r="M35" s="309">
        <v>200</v>
      </c>
    </row>
    <row r="36" spans="1:13" ht="15">
      <c r="A36" s="4" t="s">
        <v>220</v>
      </c>
      <c r="B36" s="4" t="s">
        <v>2051</v>
      </c>
      <c r="C36" s="165"/>
      <c r="D36" s="331">
        <v>6.8</v>
      </c>
      <c r="E36" s="331">
        <v>0.4</v>
      </c>
      <c r="F36" s="331">
        <v>4.58</v>
      </c>
      <c r="G36" s="331">
        <v>9.52</v>
      </c>
      <c r="H36" s="331">
        <v>2.82</v>
      </c>
      <c r="I36" s="331">
        <v>5</v>
      </c>
      <c r="J36" s="165" t="s">
        <v>803</v>
      </c>
      <c r="K36" s="168">
        <v>15.937681299999999</v>
      </c>
      <c r="L36" s="311">
        <v>5</v>
      </c>
      <c r="M36" s="309">
        <v>200</v>
      </c>
    </row>
    <row r="37" spans="1:13" ht="15">
      <c r="A37" s="4" t="s">
        <v>221</v>
      </c>
      <c r="B37" s="4" t="s">
        <v>2052</v>
      </c>
      <c r="C37" s="165"/>
      <c r="D37" s="331">
        <v>6.8</v>
      </c>
      <c r="E37" s="331">
        <v>0.3</v>
      </c>
      <c r="F37" s="331">
        <v>4.58</v>
      </c>
      <c r="G37" s="331">
        <v>9.52</v>
      </c>
      <c r="H37" s="331">
        <v>2.82</v>
      </c>
      <c r="I37" s="331">
        <v>5</v>
      </c>
      <c r="J37" s="165" t="s">
        <v>803</v>
      </c>
      <c r="K37" s="168">
        <v>15.692486199999999</v>
      </c>
      <c r="L37" s="311">
        <v>5</v>
      </c>
      <c r="M37" s="309">
        <v>200</v>
      </c>
    </row>
    <row r="38" spans="1:13" ht="15">
      <c r="A38" s="4" t="s">
        <v>715</v>
      </c>
      <c r="B38" s="4" t="s">
        <v>2053</v>
      </c>
      <c r="C38" s="165"/>
      <c r="D38" s="331">
        <v>12.38</v>
      </c>
      <c r="E38" s="331">
        <v>1.04</v>
      </c>
      <c r="F38" s="331">
        <v>17.57</v>
      </c>
      <c r="G38" s="331">
        <v>15.82</v>
      </c>
      <c r="H38" s="331">
        <v>10.23</v>
      </c>
      <c r="I38" s="331">
        <v>5</v>
      </c>
      <c r="J38" s="165" t="s">
        <v>803</v>
      </c>
      <c r="K38" s="168">
        <v>15.372252700000001</v>
      </c>
      <c r="L38" s="311">
        <v>6</v>
      </c>
      <c r="M38" s="309">
        <v>200</v>
      </c>
    </row>
    <row r="39" spans="1:13" ht="15">
      <c r="A39" s="4" t="s">
        <v>713</v>
      </c>
      <c r="B39" s="4" t="s">
        <v>2054</v>
      </c>
      <c r="C39" s="165"/>
      <c r="D39" s="331">
        <v>10</v>
      </c>
      <c r="E39" s="331">
        <v>1.3</v>
      </c>
      <c r="F39" s="331">
        <v>4</v>
      </c>
      <c r="G39" s="331">
        <v>16</v>
      </c>
      <c r="H39" s="331">
        <v>3</v>
      </c>
      <c r="I39" s="331">
        <v>5</v>
      </c>
      <c r="J39" s="165" t="s">
        <v>803</v>
      </c>
      <c r="K39" s="168">
        <v>17.241379299999998</v>
      </c>
      <c r="L39" s="311">
        <v>3</v>
      </c>
      <c r="M39" s="309">
        <v>25</v>
      </c>
    </row>
    <row r="40" spans="1:13" ht="15">
      <c r="A40" s="4" t="s">
        <v>716</v>
      </c>
      <c r="B40" s="4" t="s">
        <v>2055</v>
      </c>
      <c r="C40" s="165"/>
      <c r="D40" s="331">
        <v>6.33</v>
      </c>
      <c r="E40" s="331">
        <v>0.32</v>
      </c>
      <c r="F40" s="331">
        <v>7.53</v>
      </c>
      <c r="G40" s="331">
        <v>6.24</v>
      </c>
      <c r="H40" s="331">
        <v>7.42</v>
      </c>
      <c r="I40" s="331">
        <v>5</v>
      </c>
      <c r="J40" s="165" t="s">
        <v>803</v>
      </c>
      <c r="K40" s="168">
        <v>12.8893839</v>
      </c>
      <c r="L40" s="311">
        <v>3</v>
      </c>
      <c r="M40" s="309">
        <v>25</v>
      </c>
    </row>
    <row r="41" spans="1:13" ht="15">
      <c r="A41" s="4" t="s">
        <v>714</v>
      </c>
      <c r="B41" s="4" t="s">
        <v>2056</v>
      </c>
      <c r="C41" s="165"/>
      <c r="D41" s="331">
        <v>16</v>
      </c>
      <c r="E41" s="331">
        <v>0.8</v>
      </c>
      <c r="F41" s="331">
        <v>23.6</v>
      </c>
      <c r="G41" s="331">
        <v>11.2</v>
      </c>
      <c r="H41" s="331">
        <v>5.9</v>
      </c>
      <c r="I41" s="331">
        <v>5</v>
      </c>
      <c r="J41" s="165" t="s">
        <v>803</v>
      </c>
      <c r="K41" s="168">
        <v>13.1578947</v>
      </c>
      <c r="L41" s="311">
        <v>5</v>
      </c>
      <c r="M41" s="309">
        <v>200</v>
      </c>
    </row>
    <row r="42" spans="1:13" ht="15">
      <c r="A42" s="4" t="s">
        <v>488</v>
      </c>
      <c r="B42" s="4" t="s">
        <v>2057</v>
      </c>
      <c r="C42" s="165"/>
      <c r="D42" s="331">
        <v>27.3</v>
      </c>
      <c r="E42" s="331">
        <v>1.37</v>
      </c>
      <c r="F42" s="331">
        <v>31.1</v>
      </c>
      <c r="G42" s="331">
        <v>12.1</v>
      </c>
      <c r="H42" s="331">
        <v>8.3000000000000007</v>
      </c>
      <c r="I42" s="331">
        <v>5</v>
      </c>
      <c r="J42" s="165" t="s">
        <v>803</v>
      </c>
      <c r="K42" s="168">
        <v>7.0464564999999997</v>
      </c>
      <c r="L42" s="311">
        <v>5</v>
      </c>
      <c r="M42" s="309">
        <v>200</v>
      </c>
    </row>
    <row r="43" spans="1:13" ht="15">
      <c r="A43" s="4" t="s">
        <v>717</v>
      </c>
      <c r="B43" s="4" t="s">
        <v>2058</v>
      </c>
      <c r="C43" s="165"/>
      <c r="D43" s="331">
        <v>6.95</v>
      </c>
      <c r="E43" s="331">
        <v>0.49</v>
      </c>
      <c r="F43" s="331">
        <v>3.01</v>
      </c>
      <c r="G43" s="331">
        <v>5.49</v>
      </c>
      <c r="H43" s="331">
        <v>3.64</v>
      </c>
      <c r="I43" s="331">
        <v>5</v>
      </c>
      <c r="J43" s="165" t="s">
        <v>803</v>
      </c>
      <c r="K43" s="168">
        <v>19.115492100000001</v>
      </c>
      <c r="L43" s="311">
        <v>6</v>
      </c>
      <c r="M43" s="309">
        <v>200</v>
      </c>
    </row>
    <row r="44" spans="1:13" ht="15">
      <c r="A44" s="4"/>
      <c r="B44" s="4" t="s">
        <v>2059</v>
      </c>
      <c r="C44" s="165"/>
      <c r="D44" s="331">
        <v>9.1</v>
      </c>
      <c r="E44" s="331">
        <v>0.98</v>
      </c>
      <c r="F44" s="331">
        <v>4.4800000000000004</v>
      </c>
      <c r="G44" s="331">
        <v>7.8</v>
      </c>
      <c r="H44" s="331">
        <v>4.53</v>
      </c>
      <c r="I44" s="331">
        <v>5</v>
      </c>
      <c r="J44" s="307" t="s">
        <v>803</v>
      </c>
      <c r="K44" s="168">
        <v>16.483461500000001</v>
      </c>
      <c r="L44" s="311">
        <v>6</v>
      </c>
      <c r="M44" s="309">
        <v>200</v>
      </c>
    </row>
    <row r="45" spans="1:13" ht="15">
      <c r="A45" s="4"/>
      <c r="B45" s="4" t="s">
        <v>2058</v>
      </c>
      <c r="C45" s="165"/>
      <c r="D45" s="331">
        <v>6.45</v>
      </c>
      <c r="E45" s="331">
        <v>0.47</v>
      </c>
      <c r="F45" s="331">
        <v>2.66</v>
      </c>
      <c r="G45" s="331">
        <v>5.04</v>
      </c>
      <c r="H45" s="331">
        <v>3.5</v>
      </c>
      <c r="I45" s="331">
        <v>5</v>
      </c>
      <c r="J45" s="307" t="s">
        <v>803</v>
      </c>
      <c r="K45" s="168">
        <v>23.873080399999999</v>
      </c>
      <c r="L45" s="311">
        <v>3</v>
      </c>
      <c r="M45" s="309">
        <v>25</v>
      </c>
    </row>
    <row r="46" spans="1:13" ht="15">
      <c r="A46" s="4"/>
      <c r="B46" s="4" t="s">
        <v>2059</v>
      </c>
      <c r="C46" s="165"/>
      <c r="D46" s="331">
        <v>8.8800000000000008</v>
      </c>
      <c r="E46" s="331">
        <v>1.01</v>
      </c>
      <c r="F46" s="331">
        <v>4.37</v>
      </c>
      <c r="G46" s="331">
        <v>7.54</v>
      </c>
      <c r="H46" s="331">
        <v>3.85</v>
      </c>
      <c r="I46" s="331">
        <v>5</v>
      </c>
      <c r="J46" s="307" t="s">
        <v>803</v>
      </c>
      <c r="K46" s="168">
        <v>18.223922999999999</v>
      </c>
      <c r="L46" s="311">
        <v>3</v>
      </c>
      <c r="M46" s="309">
        <v>25</v>
      </c>
    </row>
    <row r="47" spans="1:13" ht="15">
      <c r="A47" s="4"/>
      <c r="B47" s="4" t="s">
        <v>489</v>
      </c>
      <c r="C47" s="165"/>
      <c r="D47" s="331">
        <v>26</v>
      </c>
      <c r="E47" s="331">
        <v>0</v>
      </c>
      <c r="F47" s="331">
        <v>5</v>
      </c>
      <c r="G47" s="331">
        <v>24</v>
      </c>
      <c r="H47" s="331">
        <v>0</v>
      </c>
      <c r="I47" s="331">
        <v>5</v>
      </c>
      <c r="J47" s="307" t="s">
        <v>803</v>
      </c>
      <c r="K47" s="168">
        <v>12.4709977</v>
      </c>
      <c r="L47" s="311">
        <v>2</v>
      </c>
      <c r="M47" s="309">
        <v>15</v>
      </c>
    </row>
    <row r="48" spans="1:13" ht="15">
      <c r="A48" s="4"/>
      <c r="B48" s="4" t="s">
        <v>718</v>
      </c>
      <c r="C48" s="165"/>
      <c r="D48" s="331">
        <v>6.49</v>
      </c>
      <c r="E48" s="331">
        <v>0.65</v>
      </c>
      <c r="F48" s="331">
        <v>2.71</v>
      </c>
      <c r="G48" s="331">
        <v>4.47</v>
      </c>
      <c r="H48" s="331">
        <v>1.95</v>
      </c>
      <c r="I48" s="331">
        <v>5</v>
      </c>
      <c r="J48" s="307" t="s">
        <v>803</v>
      </c>
      <c r="K48" s="168">
        <v>21.2144026</v>
      </c>
      <c r="L48" s="311">
        <v>6</v>
      </c>
      <c r="M48" s="309">
        <v>200</v>
      </c>
    </row>
  </sheetData>
  <sheetProtection algorithmName="SHA-512" hashValue="wbHpAXwwlJL59XvHVj+9hkY+LFOuezzNFMinnz965B1rnit74eUZEjCR0POtKeHIfjI51SYALbl7txF4ObZLEQ==" saltValue="AowBMI5tjrCy4jbAalcQEg==" spinCount="100000" sheet="1" objects="1" scenarios="1"/>
  <sortState ref="A2:L39">
    <sortCondition ref="B2:B39"/>
  </sortState>
  <dataValidations count="1">
    <dataValidation type="list" allowBlank="1" showInputMessage="1" showErrorMessage="1" sqref="C2:C11">
      <formula1>$C$18:$C$19</formula1>
    </dataValidation>
  </dataValidations>
  <pageMargins left="0.78740157480314965" right="0.39370078740157483" top="0.78740157480314965" bottom="0.19685039370078741" header="0.31496062992125984" footer="0.31496062992125984"/>
  <pageSetup paperSize="9" scale="80" orientation="portrait" r:id="rId1"/>
  <headerFooter>
    <oddHeader xml:space="preserve">&amp;L&amp;8Dienstleistungszentrum Ländlicher Raum (DLR) - Rheinpfalz, Breitenweg 71, 67435 Neustadt/Weinstraße
Alle Angaben ohne Gewähr. </oddHeader>
  </headerFooter>
  <drawing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D8EEC0"/>
    <pageSetUpPr fitToPage="1"/>
  </sheetPr>
  <dimension ref="A1:S39"/>
  <sheetViews>
    <sheetView showGridLines="0" zoomScaleNormal="100" zoomScaleSheetLayoutView="130" workbookViewId="0">
      <selection activeCell="B16" sqref="B16"/>
    </sheetView>
  </sheetViews>
  <sheetFormatPr baseColWidth="10" defaultRowHeight="15.75"/>
  <cols>
    <col min="1" max="1" width="2.85546875" style="13" customWidth="1"/>
    <col min="2" max="2" width="9.5703125" style="13" customWidth="1"/>
    <col min="3" max="3" width="11.5703125" style="13" customWidth="1"/>
    <col min="4" max="4" width="2.85546875" style="13" customWidth="1"/>
    <col min="5" max="5" width="15" style="13" customWidth="1"/>
    <col min="6" max="6" width="2.42578125" style="13" customWidth="1"/>
    <col min="7" max="7" width="10.42578125" style="13" customWidth="1"/>
    <col min="8" max="8" width="7.85546875" style="13" customWidth="1"/>
    <col min="9" max="9" width="7.140625" style="13" customWidth="1"/>
    <col min="10" max="10" width="6.5703125" style="14" customWidth="1"/>
    <col min="11" max="11" width="7.85546875" style="13" customWidth="1"/>
    <col min="12" max="12" width="7.140625" style="13" customWidth="1"/>
    <col min="13" max="13" width="21.140625" style="13" customWidth="1"/>
    <col min="14" max="16384" width="11.42578125" style="13"/>
  </cols>
  <sheetData>
    <row r="1" spans="1:15" ht="31.5">
      <c r="A1" s="364" t="s">
        <v>1281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</row>
    <row r="2" spans="1:15" ht="4.5" customHeight="1"/>
    <row r="3" spans="1:15" ht="13.5" customHeight="1">
      <c r="A3" s="369" t="str">
        <f>'N-Bedarf Gemüse Erdbeere'!A3:G3</f>
        <v>Version für Excel 2010 und höher, DLR Rheinpfalz Mahler/Ziegler</v>
      </c>
      <c r="B3" s="369"/>
      <c r="C3" s="369"/>
      <c r="D3" s="369"/>
      <c r="E3" s="369"/>
      <c r="F3" s="369"/>
      <c r="G3" s="369"/>
      <c r="H3" s="369"/>
      <c r="I3" s="145"/>
      <c r="J3" s="160" t="str">
        <f>'N-Bedarf Gemüse Erdbeere'!H3</f>
        <v>Stand:</v>
      </c>
      <c r="K3" s="159">
        <f>'N-Bedarf Gemüse Erdbeere'!I3</f>
        <v>45335</v>
      </c>
      <c r="L3" s="37"/>
    </row>
    <row r="4" spans="1:15" ht="9.75" customHeight="1">
      <c r="A4" s="366" t="str">
        <f>'N-Bedarf Gemüse Erdbeere'!A4:G4</f>
        <v>Quellen: DüV 2017/Änd. 2020, N-Expertdaten IGZ Großbeeren</v>
      </c>
      <c r="B4" s="366"/>
      <c r="C4" s="366"/>
      <c r="D4" s="366"/>
      <c r="E4" s="366"/>
      <c r="F4" s="366"/>
      <c r="G4" s="366"/>
      <c r="H4" s="143"/>
      <c r="I4" s="143"/>
      <c r="J4" s="35"/>
      <c r="K4" s="36"/>
      <c r="L4" s="36"/>
    </row>
    <row r="5" spans="1:15" ht="14.25" customHeight="1">
      <c r="J5" s="367"/>
      <c r="K5" s="367"/>
      <c r="L5" s="144"/>
    </row>
    <row r="6" spans="1:15" ht="15.75" customHeight="1">
      <c r="A6" s="365" t="s">
        <v>7</v>
      </c>
      <c r="B6" s="398"/>
      <c r="C6" s="398"/>
      <c r="D6" s="9"/>
      <c r="E6" s="30" t="s">
        <v>821</v>
      </c>
      <c r="F6" s="142"/>
      <c r="G6" s="365" t="s">
        <v>834</v>
      </c>
      <c r="H6" s="365"/>
      <c r="I6" s="365"/>
      <c r="J6" s="142"/>
      <c r="K6" s="365" t="s">
        <v>825</v>
      </c>
      <c r="L6" s="365"/>
    </row>
    <row r="7" spans="1:15" ht="15.75" customHeight="1">
      <c r="A7" s="396" t="str">
        <f>IF('N-Bedarf Gemüse Erdbeere'!A7:C7="","",'N-Bedarf Gemüse Erdbeere'!A7:C7)</f>
        <v/>
      </c>
      <c r="B7" s="396"/>
      <c r="C7" s="396"/>
      <c r="E7" s="150" t="str">
        <f>IF('N-Bedarf Gemüse Erdbeere'!E7="","",'N-Bedarf Gemüse Erdbeere'!E7)</f>
        <v/>
      </c>
      <c r="G7" s="396" t="str">
        <f>IF('N-Bedarf Gemüse Erdbeere'!G7="","",'N-Bedarf Gemüse Erdbeere'!G7)</f>
        <v/>
      </c>
      <c r="H7" s="396"/>
      <c r="I7" s="396"/>
      <c r="J7" s="45"/>
      <c r="K7" s="397" t="str">
        <f>IF('N-Bedarf Gemüse Erdbeere'!I7="","",'N-Bedarf Gemüse Erdbeere'!I7)</f>
        <v/>
      </c>
      <c r="L7" s="397"/>
    </row>
    <row r="8" spans="1:15" ht="7.5" customHeight="1">
      <c r="A8" s="10"/>
      <c r="B8" s="10"/>
      <c r="C8" s="10"/>
      <c r="D8" s="10"/>
      <c r="E8" s="10"/>
      <c r="F8" s="10"/>
      <c r="G8" s="10"/>
      <c r="H8" s="10"/>
      <c r="I8" s="10"/>
      <c r="K8" s="16"/>
      <c r="L8" s="16"/>
    </row>
    <row r="9" spans="1:15" s="32" customFormat="1" ht="33" customHeight="1">
      <c r="A9" s="371" t="s">
        <v>1099</v>
      </c>
      <c r="B9" s="371"/>
      <c r="C9" s="371"/>
      <c r="D9" s="371"/>
      <c r="E9" s="371"/>
      <c r="F9" s="371"/>
      <c r="G9" s="371"/>
      <c r="H9" s="371"/>
      <c r="I9" s="371"/>
      <c r="J9" s="371"/>
      <c r="K9" s="371"/>
      <c r="L9" s="371"/>
      <c r="M9" s="145"/>
    </row>
    <row r="10" spans="1:15" s="32" customFormat="1" ht="23.25">
      <c r="A10" s="117" t="s">
        <v>1084</v>
      </c>
      <c r="B10" s="349" t="s">
        <v>1289</v>
      </c>
      <c r="C10" s="349"/>
      <c r="D10" s="349"/>
      <c r="E10" s="349"/>
      <c r="F10" s="31"/>
      <c r="G10" s="370"/>
      <c r="H10" s="370"/>
      <c r="I10" s="370"/>
      <c r="J10" s="370"/>
      <c r="K10" s="370"/>
      <c r="L10" s="370"/>
      <c r="M10" s="33"/>
      <c r="N10" s="13"/>
    </row>
    <row r="11" spans="1:15" s="11" customFormat="1" ht="23.25">
      <c r="B11" s="400" t="str">
        <f>IF('N-Bedarf Gemüse Erdbeere'!B13:E13="","",'N-Bedarf Gemüse Erdbeere'!B13:E13)</f>
        <v/>
      </c>
      <c r="C11" s="400"/>
      <c r="D11" s="400"/>
      <c r="E11" s="400"/>
      <c r="F11" s="46"/>
      <c r="G11" s="401" t="str">
        <f>IF(B11="","",VLOOKUP(B11,'Tab 4+5 DüV+Abfuhr_G'!A:N,2))</f>
        <v/>
      </c>
      <c r="H11" s="401"/>
      <c r="I11" s="401"/>
      <c r="J11" s="17" t="s">
        <v>820</v>
      </c>
      <c r="K11" s="39" t="str">
        <f>IF(B11="","0",VLOOKUP(B11,'Tab 4+5 DüV+Abfuhr_G'!A:N,12,FALSE)*G11)</f>
        <v>0</v>
      </c>
      <c r="L11" s="44" t="s">
        <v>832</v>
      </c>
      <c r="M11" s="50"/>
      <c r="N11" s="13"/>
    </row>
    <row r="12" spans="1:15" s="11" customFormat="1" ht="23.25">
      <c r="A12" s="381" t="s">
        <v>852</v>
      </c>
      <c r="B12" s="381"/>
      <c r="C12" s="381"/>
      <c r="D12" s="381"/>
      <c r="E12" s="13"/>
      <c r="F12" s="46"/>
      <c r="G12" s="46"/>
      <c r="H12" s="46"/>
      <c r="I12" s="46"/>
      <c r="J12" s="17"/>
      <c r="K12" s="63"/>
      <c r="L12" s="63"/>
      <c r="M12" s="50"/>
      <c r="N12" s="13"/>
      <c r="O12" s="132"/>
    </row>
    <row r="13" spans="1:15" ht="15.75" customHeight="1">
      <c r="A13" s="30" t="s">
        <v>1085</v>
      </c>
      <c r="B13" s="362" t="s">
        <v>830</v>
      </c>
      <c r="C13" s="362"/>
      <c r="D13" s="362"/>
      <c r="E13" s="362"/>
      <c r="F13" s="140"/>
      <c r="G13" s="146"/>
      <c r="H13" s="146"/>
      <c r="I13" s="146"/>
      <c r="J13" s="15"/>
      <c r="K13" s="16"/>
      <c r="L13" s="16"/>
      <c r="M13" s="50"/>
    </row>
    <row r="14" spans="1:15" ht="15.75" customHeight="1">
      <c r="B14" s="151" t="str">
        <f>IF('N-Bedarf Gemüse Erdbeere'!B15="","",'N-Bedarf Gemüse Erdbeere'!B15)</f>
        <v/>
      </c>
      <c r="C14" s="382" t="str">
        <f>IF(OR(B14="",B11=""),"",IF(G11=0,"keine Ertragserwartung",IF(B14=0,-100,(B14-G11)*100/G11)))</f>
        <v/>
      </c>
      <c r="D14" s="382"/>
      <c r="E14" s="9"/>
      <c r="F14" s="9"/>
      <c r="G14" s="9"/>
      <c r="H14" s="9"/>
      <c r="I14" s="9"/>
      <c r="J14" s="17" t="s">
        <v>820</v>
      </c>
      <c r="K14" s="40">
        <f>IF(OR(B14="",B14=0,C14="keine Ertragserwartung"),0,(B14*K11/G11)-K11)</f>
        <v>0</v>
      </c>
      <c r="L14" s="44" t="s">
        <v>832</v>
      </c>
      <c r="M14" s="50"/>
    </row>
    <row r="15" spans="1:15" s="32" customFormat="1" ht="18" customHeight="1">
      <c r="A15" s="117" t="s">
        <v>1086</v>
      </c>
      <c r="B15" s="402" t="s">
        <v>854</v>
      </c>
      <c r="C15" s="402"/>
      <c r="D15" s="402"/>
      <c r="E15" s="30" t="s">
        <v>843</v>
      </c>
      <c r="F15" s="147"/>
      <c r="G15" s="377" t="s">
        <v>874</v>
      </c>
      <c r="H15" s="377"/>
      <c r="I15" s="377"/>
      <c r="K15" s="64"/>
      <c r="L15" s="64"/>
      <c r="M15" s="50"/>
      <c r="N15" s="13"/>
      <c r="O15" s="32" t="s">
        <v>819</v>
      </c>
    </row>
    <row r="16" spans="1:15" ht="15.75" customHeight="1">
      <c r="B16" s="66"/>
      <c r="C16" s="141" t="s">
        <v>1073</v>
      </c>
      <c r="D16" s="141"/>
      <c r="E16" s="66"/>
      <c r="F16" s="141"/>
      <c r="G16" s="78" t="str">
        <f>IF(OR(B16="",B16=0),"",VLOOKUP(B16,'Boden Bolap'!A:D,2))</f>
        <v/>
      </c>
      <c r="H16" s="399"/>
      <c r="I16" s="399"/>
      <c r="J16" s="17" t="s">
        <v>820</v>
      </c>
      <c r="K16" s="40" t="str">
        <f>IF(B16="","0",VLOOKUP(B16,'Boden Bolap'!A:D,3))</f>
        <v>0</v>
      </c>
      <c r="L16" s="44" t="s">
        <v>832</v>
      </c>
      <c r="M16" s="50"/>
    </row>
    <row r="17" spans="1:19" s="11" customFormat="1" ht="15.75" customHeight="1">
      <c r="B17" s="133"/>
      <c r="C17" s="134"/>
      <c r="D17" s="134"/>
      <c r="E17" s="133"/>
      <c r="F17" s="134"/>
      <c r="G17" s="115"/>
      <c r="H17" s="135"/>
      <c r="I17" s="135"/>
      <c r="J17" s="136"/>
      <c r="K17" s="116"/>
      <c r="L17" s="137"/>
      <c r="M17" s="50"/>
    </row>
    <row r="18" spans="1:19" ht="15.75" customHeight="1">
      <c r="B18" s="386" t="s">
        <v>1079</v>
      </c>
      <c r="C18" s="386"/>
      <c r="D18" s="386"/>
      <c r="E18" s="386"/>
      <c r="F18" s="386"/>
      <c r="G18" s="386"/>
      <c r="H18" s="386"/>
      <c r="I18" s="386"/>
      <c r="J18" s="17"/>
      <c r="K18" s="40" t="str">
        <f>IF(B11="","0",VLOOKUP(B11,'Tab 4+5 DüV+Abfuhr_G'!A:Q,15))</f>
        <v>0</v>
      </c>
      <c r="L18" s="44" t="s">
        <v>832</v>
      </c>
      <c r="M18" s="50"/>
    </row>
    <row r="19" spans="1:19" ht="15.75" customHeight="1">
      <c r="A19" s="141"/>
      <c r="B19" s="141"/>
      <c r="C19" s="141"/>
      <c r="D19" s="141"/>
      <c r="E19" s="141"/>
      <c r="F19" s="141"/>
      <c r="G19" s="141"/>
      <c r="H19" s="141"/>
      <c r="I19" s="141"/>
      <c r="J19" s="141"/>
      <c r="K19" s="65"/>
      <c r="L19" s="65"/>
      <c r="M19" s="50"/>
      <c r="O19" s="141"/>
    </row>
    <row r="20" spans="1:19" ht="27" customHeight="1">
      <c r="B20" s="392" t="s">
        <v>1614</v>
      </c>
      <c r="C20" s="393"/>
      <c r="D20" s="393"/>
      <c r="E20" s="393"/>
      <c r="F20" s="393"/>
      <c r="G20" s="393"/>
      <c r="H20" s="393"/>
      <c r="I20" s="393"/>
      <c r="J20" s="103" t="s">
        <v>1034</v>
      </c>
      <c r="K20" s="41" t="str">
        <f>IF(B16="","0",SUM(K11,K14,K16,K18))</f>
        <v>0</v>
      </c>
      <c r="L20" s="214" t="s">
        <v>832</v>
      </c>
      <c r="M20" s="50"/>
    </row>
    <row r="21" spans="1:19" ht="42" customHeight="1">
      <c r="B21" s="391" t="s">
        <v>1078</v>
      </c>
      <c r="C21" s="391"/>
      <c r="D21" s="391"/>
      <c r="E21" s="391"/>
      <c r="F21" s="391"/>
      <c r="G21" s="391"/>
      <c r="H21" s="391"/>
      <c r="I21" s="391"/>
      <c r="J21" s="391"/>
      <c r="K21" s="391"/>
      <c r="L21" s="391"/>
      <c r="M21" s="50"/>
    </row>
    <row r="22" spans="1:19" ht="47.25" hidden="1" customHeight="1" thickBot="1">
      <c r="B22" s="388" t="s">
        <v>1284</v>
      </c>
      <c r="C22" s="389"/>
      <c r="D22" s="389"/>
      <c r="E22" s="389"/>
      <c r="F22" s="389"/>
      <c r="G22" s="389"/>
      <c r="H22" s="389"/>
      <c r="I22" s="390"/>
      <c r="J22" s="221" t="s">
        <v>820</v>
      </c>
      <c r="K22" s="219" t="str">
        <f>IF(OR(B16="",B16=0),K20,K20+I23)</f>
        <v>0</v>
      </c>
      <c r="L22" s="220" t="s">
        <v>832</v>
      </c>
      <c r="M22" s="50"/>
    </row>
    <row r="23" spans="1:19" ht="73.5" customHeight="1">
      <c r="B23" s="215"/>
      <c r="C23" s="216"/>
      <c r="D23" s="216"/>
      <c r="E23" s="216"/>
      <c r="F23" s="216"/>
      <c r="G23" s="216"/>
      <c r="H23" s="216"/>
      <c r="I23" s="217" t="str">
        <f>IF(OR(B16="",B16=0),"",IF(B16&gt;13.8,VLOOKUP(B16,'Boden Bolap'!A1:D42,4)*(K11+K14)-(K11+K14),0))</f>
        <v/>
      </c>
      <c r="M23" s="50" t="s">
        <v>819</v>
      </c>
    </row>
    <row r="24" spans="1:19" ht="20.25" customHeight="1">
      <c r="C24" s="387" t="s">
        <v>1022</v>
      </c>
      <c r="D24" s="387"/>
      <c r="E24" s="387"/>
      <c r="F24" s="387"/>
      <c r="G24" s="387"/>
      <c r="H24" s="387"/>
      <c r="I24" s="387"/>
      <c r="J24" s="387"/>
      <c r="K24" s="387"/>
      <c r="L24" s="387"/>
    </row>
    <row r="25" spans="1:19" ht="6.75" customHeight="1"/>
    <row r="26" spans="1:19" ht="23.25">
      <c r="G26" s="68"/>
      <c r="H26" s="385" t="s">
        <v>860</v>
      </c>
      <c r="I26" s="385"/>
      <c r="J26" s="76"/>
      <c r="K26" s="385" t="s">
        <v>840</v>
      </c>
      <c r="L26" s="385"/>
      <c r="Q26" s="149"/>
      <c r="R26" s="149"/>
      <c r="S26" s="149"/>
    </row>
    <row r="27" spans="1:19">
      <c r="C27" s="362" t="s">
        <v>858</v>
      </c>
      <c r="D27" s="362"/>
      <c r="E27" s="362"/>
      <c r="F27" s="362"/>
      <c r="G27" s="18"/>
      <c r="H27" s="75"/>
      <c r="I27" s="67" t="s">
        <v>837</v>
      </c>
      <c r="J27" s="18"/>
      <c r="K27" s="75"/>
      <c r="L27" s="67" t="s">
        <v>837</v>
      </c>
    </row>
    <row r="28" spans="1:19" ht="6.75" customHeight="1">
      <c r="G28" s="18"/>
      <c r="H28" s="18"/>
      <c r="I28" s="18"/>
      <c r="J28" s="18"/>
      <c r="K28" s="18"/>
      <c r="L28" s="18"/>
    </row>
    <row r="29" spans="1:19">
      <c r="C29" s="362" t="s">
        <v>841</v>
      </c>
      <c r="D29" s="362"/>
      <c r="E29" s="362"/>
      <c r="F29" s="362"/>
      <c r="G29" s="18"/>
      <c r="H29" s="71" t="str">
        <f>IF(E16="","Bodenart?",IF(H27="","Gehalt?",IF(E16="leicht",VLOOKUP(H27,'Boden Bolap'!F:J,3),IF(E16="mittel",VLOOKUP(H27,'Boden Bolap'!K:O,3),IF(E16="schwer",VLOOKUP(H27,'Boden Bolap'!P:T,3))))))</f>
        <v>Bodenart?</v>
      </c>
      <c r="I29" s="71" t="s">
        <v>832</v>
      </c>
      <c r="J29" s="18"/>
      <c r="K29" s="71" t="str">
        <f>IF(E16="","Bodenart?",IF(K27="","Gehalt?",IF(E16="leicht",VLOOKUP(K27,'Boden Bolap'!U:Y,3),IF(E16="mittel",VLOOKUP(K27,'Boden Bolap'!Z:AD,3),IF(E16="schwer",VLOOKUP(K27,'Boden Bolap'!AE:AI,3))))))</f>
        <v>Bodenart?</v>
      </c>
      <c r="L29" s="71" t="s">
        <v>832</v>
      </c>
    </row>
    <row r="30" spans="1:19" ht="6.75" customHeight="1">
      <c r="G30" s="18"/>
      <c r="H30" s="18"/>
      <c r="I30" s="18"/>
      <c r="J30" s="18"/>
      <c r="K30" s="18"/>
      <c r="L30" s="18"/>
    </row>
    <row r="31" spans="1:19">
      <c r="C31" s="149" t="s">
        <v>855</v>
      </c>
      <c r="D31" s="394" t="str">
        <f>IF(G11="","",G11)</f>
        <v/>
      </c>
      <c r="E31" s="395"/>
      <c r="F31" s="395"/>
      <c r="G31" s="138"/>
      <c r="H31" s="72" t="str">
        <f>IF(B11="","0",VLOOKUP(B11,'Tab 4+5 DüV+Abfuhr_G'!A:N,13,FALSE)*G11)</f>
        <v>0</v>
      </c>
      <c r="I31" s="73" t="s">
        <v>832</v>
      </c>
      <c r="J31" s="74"/>
      <c r="K31" s="72" t="str">
        <f>IF(B11="","0",VLOOKUP(B11,'Tab 4+5 DüV+Abfuhr_G'!A:N,14,FALSE)*G11)</f>
        <v>0</v>
      </c>
      <c r="L31" s="73" t="s">
        <v>832</v>
      </c>
    </row>
    <row r="32" spans="1:19" ht="6.75" customHeight="1">
      <c r="G32" s="18"/>
      <c r="H32" s="18"/>
      <c r="I32" s="18"/>
      <c r="J32" s="18"/>
      <c r="K32" s="18"/>
      <c r="L32" s="18"/>
    </row>
    <row r="33" spans="3:12">
      <c r="C33" s="362" t="s">
        <v>856</v>
      </c>
      <c r="D33" s="362"/>
      <c r="E33" s="362"/>
      <c r="F33" s="98" t="str">
        <f>IF(C14="","","bei")</f>
        <v/>
      </c>
      <c r="G33" s="148" t="str">
        <f>IF(C14="","",C14)</f>
        <v/>
      </c>
      <c r="H33" s="71" t="str">
        <f>IF(OR(B11="",B14=""),"0",(B14*H31/G11)-H31)</f>
        <v>0</v>
      </c>
      <c r="I33" s="71" t="s">
        <v>832</v>
      </c>
      <c r="J33" s="18"/>
      <c r="K33" s="71" t="str">
        <f>IF(OR(B14="",B11=""),"0",(B14*K31/G11)-K31)</f>
        <v>0</v>
      </c>
      <c r="L33" s="71" t="s">
        <v>832</v>
      </c>
    </row>
    <row r="34" spans="3:12" ht="6.75" customHeight="1">
      <c r="G34" s="18"/>
      <c r="H34" s="18"/>
      <c r="I34" s="18"/>
      <c r="J34" s="18"/>
      <c r="K34" s="18"/>
      <c r="L34" s="18"/>
    </row>
    <row r="35" spans="3:12">
      <c r="C35" s="362" t="s">
        <v>857</v>
      </c>
      <c r="D35" s="362"/>
      <c r="E35" s="362"/>
      <c r="G35" s="18"/>
      <c r="H35" s="71" t="str">
        <f>IF(OR(B11="",E16="",H27=""),"0",IF(AND(E16="leicht",H27&lt;14),VLOOKUP(H27,'Boden Bolap'!F:J,4),IF(AND(E16="leicht",H27&gt;13),VLOOKUP(H27,'Boden Bolap'!F:J,5)*(H31+H33)-(H31+H33),IF(AND(E16="mittel",H27&lt;18),VLOOKUP(H27,'Boden Bolap'!K:O,4),IF(AND(E16="mittel",H27&gt;17),VLOOKUP(H27,'Boden Bolap'!K:O,5)*(H31+H33)-(H31+H33),IF(AND(E16="schwer",H27&lt;22),VLOOKUP(H27,'Boden Bolap'!P:T,4),IF(AND(E16="schwer",H27&gt;21),VLOOKUP(H27,'Boden Bolap'!P:T,5)*(H31+H33)-(H31+H33))))))))</f>
        <v>0</v>
      </c>
      <c r="I35" s="71" t="s">
        <v>832</v>
      </c>
      <c r="J35" s="18"/>
      <c r="K35" s="71" t="str">
        <f>IF(OR(B11="",E16="",K27=""),"0",IF(AND(E16="leicht",K27&lt;7),VLOOKUP(K27,'Boden Bolap'!U:Y,4),IF(AND(E16="leicht",K27&gt;6),VLOOKUP(K27,'Boden Bolap'!U:Y,5)*(K31+K33)-(K31+K33),IF(AND(E16="mittel",K27&lt;11),VLOOKUP(K27,'Boden Bolap'!Z:AD,4),IF(AND(E16="mittel",K27&gt;10),VLOOKUP(K27,'Boden Bolap'!Z:AD,5)*(K31+K33)-(K31+K33),IF(AND(E16="schwer",K27&lt;15),VLOOKUP(K27,'Boden Bolap'!AE:AI,4),IF(AND(E16="schwer",K27&gt;14),VLOOKUP(K27,'Boden Bolap'!AE:AI,5)*(K31+K33)-(K31+K33))))))))</f>
        <v>0</v>
      </c>
      <c r="L35" s="71" t="s">
        <v>832</v>
      </c>
    </row>
    <row r="36" spans="3:12" ht="6.75" customHeight="1">
      <c r="G36" s="18"/>
      <c r="H36" s="18"/>
      <c r="I36" s="18"/>
      <c r="J36" s="18"/>
      <c r="K36" s="18"/>
      <c r="L36" s="18"/>
    </row>
    <row r="37" spans="3:12">
      <c r="C37" s="362" t="s">
        <v>1075</v>
      </c>
      <c r="D37" s="362"/>
      <c r="E37" s="362"/>
      <c r="G37" s="18"/>
      <c r="H37" s="71" t="str">
        <f>IF(B11="","0",VLOOKUP(B11,Tabelle1[#All],16))</f>
        <v>0</v>
      </c>
      <c r="I37" s="71" t="s">
        <v>832</v>
      </c>
      <c r="J37" s="18"/>
      <c r="K37" s="71" t="str">
        <f>IF(B11="","0",VLOOKUP(B11,Tabelle1[#All],17))</f>
        <v>0</v>
      </c>
      <c r="L37" s="71" t="s">
        <v>832</v>
      </c>
    </row>
    <row r="38" spans="3:12" ht="6.75" customHeight="1">
      <c r="G38" s="18"/>
      <c r="H38" s="69"/>
      <c r="I38" s="69"/>
      <c r="J38" s="18"/>
      <c r="K38" s="18"/>
      <c r="L38" s="18"/>
    </row>
    <row r="39" spans="3:12" ht="18.75" customHeight="1">
      <c r="C39" s="387" t="s">
        <v>1076</v>
      </c>
      <c r="D39" s="387"/>
      <c r="E39" s="387"/>
      <c r="F39" s="387"/>
      <c r="G39" s="18"/>
      <c r="H39" s="70" t="str">
        <f>IF(H27="","Gehalt?",IF(H29="Bodenart?","",IF(SUM(H31,H35,H33)&lt;0,"0",SUM(H35,H31,H33,H37))))</f>
        <v>Gehalt?</v>
      </c>
      <c r="I39" s="70" t="s">
        <v>832</v>
      </c>
      <c r="J39" s="18"/>
      <c r="K39" s="70" t="str">
        <f>IF(K27="","Gehalt?",IF(K29="Bodenart?","",IF(SUM(K31,K35,K33)&lt;0,"0",SUM(K35,K31,K33,K37))))</f>
        <v>Gehalt?</v>
      </c>
      <c r="L39" s="70" t="s">
        <v>832</v>
      </c>
    </row>
  </sheetData>
  <sheetProtection algorithmName="SHA-512" hashValue="0T4XwBjD1sKvXLFpnkWPr+zAt+jUnSiS4VZ0kaHqs2UYveOTFGpaZZaJJPJBekkMfBXilHhmER5qUBWWLk/dYQ==" saltValue="TUE6P0x83fEPVoqqqdjImA==" spinCount="100000" sheet="1" objects="1" scenarios="1" selectLockedCells="1"/>
  <mergeCells count="35">
    <mergeCell ref="H16:I16"/>
    <mergeCell ref="B11:E11"/>
    <mergeCell ref="G11:I11"/>
    <mergeCell ref="A12:D12"/>
    <mergeCell ref="B13:E13"/>
    <mergeCell ref="B15:D15"/>
    <mergeCell ref="C14:D14"/>
    <mergeCell ref="G15:I15"/>
    <mergeCell ref="A1:L1"/>
    <mergeCell ref="A4:G4"/>
    <mergeCell ref="J5:K5"/>
    <mergeCell ref="A6:C6"/>
    <mergeCell ref="K6:L6"/>
    <mergeCell ref="A3:H3"/>
    <mergeCell ref="A7:C7"/>
    <mergeCell ref="K7:L7"/>
    <mergeCell ref="G10:L10"/>
    <mergeCell ref="G6:I6"/>
    <mergeCell ref="G7:I7"/>
    <mergeCell ref="A9:L9"/>
    <mergeCell ref="B10:E10"/>
    <mergeCell ref="C39:F39"/>
    <mergeCell ref="C29:F29"/>
    <mergeCell ref="C27:F27"/>
    <mergeCell ref="D31:F31"/>
    <mergeCell ref="C33:E33"/>
    <mergeCell ref="C37:E37"/>
    <mergeCell ref="H26:I26"/>
    <mergeCell ref="K26:L26"/>
    <mergeCell ref="B18:I18"/>
    <mergeCell ref="C35:E35"/>
    <mergeCell ref="C24:L24"/>
    <mergeCell ref="B22:I22"/>
    <mergeCell ref="B21:L21"/>
    <mergeCell ref="B20:I20"/>
  </mergeCells>
  <conditionalFormatting sqref="K11:L11 K22 M11:M23">
    <cfRule type="cellIs" dxfId="256" priority="54" operator="lessThan">
      <formula>0</formula>
    </cfRule>
  </conditionalFormatting>
  <conditionalFormatting sqref="M10">
    <cfRule type="cellIs" dxfId="255" priority="51" operator="lessThan">
      <formula>0</formula>
    </cfRule>
  </conditionalFormatting>
  <conditionalFormatting sqref="K13:L13 K14">
    <cfRule type="cellIs" dxfId="254" priority="49" operator="lessThan">
      <formula>0</formula>
    </cfRule>
  </conditionalFormatting>
  <conditionalFormatting sqref="K20">
    <cfRule type="cellIs" dxfId="253" priority="48" operator="lessThan">
      <formula>0</formula>
    </cfRule>
  </conditionalFormatting>
  <conditionalFormatting sqref="K16:K18">
    <cfRule type="cellIs" dxfId="252" priority="43" operator="lessThan">
      <formula>0</formula>
    </cfRule>
  </conditionalFormatting>
  <conditionalFormatting sqref="L14">
    <cfRule type="cellIs" dxfId="251" priority="41" operator="lessThan">
      <formula>0</formula>
    </cfRule>
  </conditionalFormatting>
  <conditionalFormatting sqref="L16:L18">
    <cfRule type="cellIs" dxfId="250" priority="40" operator="lessThan">
      <formula>0</formula>
    </cfRule>
  </conditionalFormatting>
  <conditionalFormatting sqref="L20">
    <cfRule type="cellIs" dxfId="249" priority="39" operator="lessThan">
      <formula>0</formula>
    </cfRule>
  </conditionalFormatting>
  <conditionalFormatting sqref="I29">
    <cfRule type="cellIs" dxfId="248" priority="31" operator="lessThan">
      <formula>0</formula>
    </cfRule>
  </conditionalFormatting>
  <conditionalFormatting sqref="K29">
    <cfRule type="cellIs" dxfId="247" priority="30" operator="lessThan">
      <formula>0</formula>
    </cfRule>
  </conditionalFormatting>
  <conditionalFormatting sqref="K31">
    <cfRule type="cellIs" dxfId="246" priority="29" operator="lessThan">
      <formula>0</formula>
    </cfRule>
  </conditionalFormatting>
  <conditionalFormatting sqref="I31">
    <cfRule type="cellIs" dxfId="245" priority="28" operator="lessThan">
      <formula>0</formula>
    </cfRule>
  </conditionalFormatting>
  <conditionalFormatting sqref="I33">
    <cfRule type="cellIs" dxfId="244" priority="27" operator="lessThan">
      <formula>0</formula>
    </cfRule>
  </conditionalFormatting>
  <conditionalFormatting sqref="K33">
    <cfRule type="cellIs" dxfId="243" priority="26" operator="lessThan">
      <formula>0</formula>
    </cfRule>
  </conditionalFormatting>
  <conditionalFormatting sqref="I39">
    <cfRule type="cellIs" dxfId="242" priority="23" operator="lessThan">
      <formula>0</formula>
    </cfRule>
  </conditionalFormatting>
  <conditionalFormatting sqref="I35 I37">
    <cfRule type="cellIs" dxfId="241" priority="21" operator="lessThan">
      <formula>0</formula>
    </cfRule>
  </conditionalFormatting>
  <conditionalFormatting sqref="K35 K37">
    <cfRule type="cellIs" dxfId="240" priority="20" operator="lessThan">
      <formula>0</formula>
    </cfRule>
  </conditionalFormatting>
  <conditionalFormatting sqref="H39">
    <cfRule type="cellIs" dxfId="239" priority="6" operator="lessThan">
      <formula>0</formula>
    </cfRule>
  </conditionalFormatting>
  <conditionalFormatting sqref="H33">
    <cfRule type="cellIs" dxfId="238" priority="7" operator="lessThan">
      <formula>0</formula>
    </cfRule>
  </conditionalFormatting>
  <conditionalFormatting sqref="H35 H37">
    <cfRule type="cellIs" dxfId="237" priority="5" operator="lessThan">
      <formula>0</formula>
    </cfRule>
  </conditionalFormatting>
  <conditionalFormatting sqref="H29">
    <cfRule type="cellIs" dxfId="236" priority="9" operator="lessThan">
      <formula>0</formula>
    </cfRule>
  </conditionalFormatting>
  <conditionalFormatting sqref="H31">
    <cfRule type="cellIs" dxfId="235" priority="8" operator="lessThan">
      <formula>0</formula>
    </cfRule>
  </conditionalFormatting>
  <conditionalFormatting sqref="K39">
    <cfRule type="cellIs" dxfId="234" priority="1" operator="lessThan">
      <formula>0</formula>
    </cfRule>
  </conditionalFormatting>
  <dataValidations count="3">
    <dataValidation type="date" allowBlank="1" showInputMessage="1" showErrorMessage="1" errorTitle="Datum" error="Sie haben kein Datum eingegeben!" prompt="TT.MM.JJ" sqref="E7">
      <formula1>42795</formula1>
      <formula2>73110</formula2>
    </dataValidation>
    <dataValidation allowBlank="1" showInputMessage="1" showErrorMessage="1" error="Kultur aus der Dropdown-Liste auswählen. Für fehelnde Kulturen sind derzeit keine N-Bedarfsermittlungen möglich." sqref="A12"/>
    <dataValidation type="whole" allowBlank="1" showInputMessage="1" showErrorMessage="1" sqref="B16:B17">
      <formula1>0</formula1>
      <formula2>100</formula2>
    </dataValidation>
  </dataValidations>
  <pageMargins left="0.78740157480314965" right="0.39370078740157483" top="0.78740157480314965" bottom="0.19685039370078741" header="0.31496062992125984" footer="0.31496062992125984"/>
  <pageSetup paperSize="9" orientation="portrait" r:id="rId1"/>
  <headerFooter>
    <oddHeader xml:space="preserve">&amp;L&amp;8Dienstleistungszentrum Ländlicher Raum (DLR) - Rheinpfalz, Breitenweg 71, 67435 Neustadt/Weinstraße
Alle Angaben ohne Gewähr. </oddHead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'Boden Bolap'!$AK$3:$AK$5</xm:f>
          </x14:formula1>
          <xm:sqref>E16:E17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V52"/>
  <sheetViews>
    <sheetView showGridLines="0" zoomScaleNormal="100" zoomScaleSheetLayoutView="130" workbookViewId="0">
      <selection activeCell="B13" sqref="B13:E13"/>
    </sheetView>
  </sheetViews>
  <sheetFormatPr baseColWidth="10" defaultRowHeight="15.75"/>
  <cols>
    <col min="1" max="1" width="2.85546875" style="13" customWidth="1"/>
    <col min="2" max="2" width="10.28515625" style="13" customWidth="1"/>
    <col min="3" max="3" width="11.5703125" style="13" customWidth="1"/>
    <col min="4" max="4" width="2.85546875" style="13" customWidth="1"/>
    <col min="5" max="5" width="12.85546875" style="13" customWidth="1"/>
    <col min="6" max="6" width="4" style="13" customWidth="1"/>
    <col min="7" max="7" width="6.42578125" style="13" customWidth="1"/>
    <col min="8" max="8" width="6.140625" style="13" customWidth="1"/>
    <col min="9" max="9" width="4.85546875" style="13" customWidth="1"/>
    <col min="10" max="10" width="13.42578125" style="13" customWidth="1"/>
    <col min="11" max="11" width="6.5703125" style="14" customWidth="1"/>
    <col min="12" max="12" width="7.85546875" style="13" customWidth="1"/>
    <col min="13" max="13" width="7.140625" style="13" customWidth="1"/>
    <col min="14" max="14" width="2.42578125" style="13" customWidth="1"/>
    <col min="15" max="17" width="17.140625" style="13" hidden="1" customWidth="1"/>
    <col min="18" max="18" width="11.140625" style="13" customWidth="1"/>
    <col min="19" max="19" width="10.42578125" style="13" hidden="1" customWidth="1"/>
    <col min="20" max="20" width="10.140625" style="13" hidden="1" customWidth="1"/>
    <col min="21" max="21" width="12.42578125" style="13" hidden="1" customWidth="1"/>
    <col min="22" max="16384" width="11.42578125" style="13"/>
  </cols>
  <sheetData>
    <row r="1" spans="1:22" ht="31.5">
      <c r="A1" s="364" t="s">
        <v>1288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</row>
    <row r="2" spans="1:22" ht="4.5" customHeight="1"/>
    <row r="3" spans="1:22" ht="13.5" customHeight="1">
      <c r="A3" s="369" t="str">
        <f>'N-Bedarf Gemüse Erdbeere'!A3:G3</f>
        <v>Version für Excel 2010 und höher, DLR Rheinpfalz Mahler/Ziegler</v>
      </c>
      <c r="B3" s="369"/>
      <c r="C3" s="369"/>
      <c r="D3" s="369"/>
      <c r="E3" s="369"/>
      <c r="F3" s="369"/>
      <c r="G3" s="369"/>
      <c r="H3" s="202"/>
      <c r="I3" s="202"/>
      <c r="J3" s="202"/>
      <c r="K3" s="160" t="str">
        <f>'N-Bedarf Gemüse Erdbeere'!H3</f>
        <v>Stand:</v>
      </c>
      <c r="L3" s="159">
        <f>'N-Bedarf Gemüse Erdbeere'!I3</f>
        <v>45335</v>
      </c>
    </row>
    <row r="4" spans="1:22" ht="9.75" customHeight="1">
      <c r="A4" s="413" t="str">
        <f>'N-Bedarf Gemüse Erdbeere'!A4:G4</f>
        <v>Quellen: DüV 2017/Änd. 2020, N-Expertdaten IGZ Großbeeren</v>
      </c>
      <c r="B4" s="413"/>
      <c r="C4" s="413"/>
      <c r="D4" s="413"/>
      <c r="E4" s="413"/>
      <c r="F4" s="413"/>
      <c r="G4" s="413"/>
      <c r="H4" s="209"/>
      <c r="I4" s="209"/>
      <c r="J4" s="209"/>
      <c r="K4" s="35"/>
      <c r="L4" s="36"/>
      <c r="M4" s="36"/>
    </row>
    <row r="5" spans="1:22" ht="14.25" customHeight="1">
      <c r="A5" s="414" t="s">
        <v>1169</v>
      </c>
      <c r="B5" s="414"/>
      <c r="C5" s="414"/>
      <c r="D5" s="414"/>
      <c r="E5" s="414"/>
      <c r="F5" s="414"/>
      <c r="G5" s="414"/>
      <c r="H5" s="210"/>
      <c r="I5" s="210"/>
      <c r="J5" s="210"/>
      <c r="K5" s="367"/>
      <c r="L5" s="367"/>
      <c r="M5" s="201"/>
    </row>
    <row r="6" spans="1:22" ht="15.75" customHeight="1">
      <c r="A6" s="365" t="s">
        <v>7</v>
      </c>
      <c r="B6" s="398"/>
      <c r="C6" s="398"/>
      <c r="D6" s="9"/>
      <c r="E6" s="30" t="s">
        <v>821</v>
      </c>
      <c r="F6" s="200"/>
      <c r="G6" s="365" t="s">
        <v>834</v>
      </c>
      <c r="H6" s="365"/>
      <c r="I6" s="365"/>
      <c r="J6" s="365"/>
      <c r="K6" s="200"/>
      <c r="L6" s="365" t="s">
        <v>825</v>
      </c>
      <c r="M6" s="365"/>
    </row>
    <row r="7" spans="1:22" ht="15.75" customHeight="1">
      <c r="A7" s="373"/>
      <c r="B7" s="373"/>
      <c r="C7" s="373"/>
      <c r="E7" s="48"/>
      <c r="G7" s="373"/>
      <c r="H7" s="373"/>
      <c r="I7" s="373"/>
      <c r="J7" s="373"/>
      <c r="K7" s="45"/>
      <c r="L7" s="372"/>
      <c r="M7" s="372"/>
    </row>
    <row r="8" spans="1:22" ht="7.5" customHeight="1">
      <c r="A8" s="10"/>
      <c r="B8" s="10"/>
      <c r="C8" s="10"/>
      <c r="D8" s="10"/>
      <c r="E8" s="10"/>
      <c r="F8" s="10"/>
      <c r="G8" s="10"/>
      <c r="H8" s="10"/>
      <c r="I8" s="10"/>
      <c r="J8" s="10"/>
      <c r="L8" s="16"/>
      <c r="M8" s="16"/>
    </row>
    <row r="9" spans="1:22" ht="9" customHeight="1">
      <c r="A9" s="371" t="s">
        <v>1033</v>
      </c>
      <c r="B9" s="371"/>
      <c r="C9" s="371"/>
      <c r="D9" s="371"/>
      <c r="E9" s="371"/>
      <c r="F9" s="371"/>
      <c r="G9" s="371"/>
      <c r="H9" s="371"/>
      <c r="I9" s="371"/>
      <c r="J9" s="371"/>
      <c r="K9" s="371"/>
      <c r="L9" s="371"/>
      <c r="M9" s="371"/>
    </row>
    <row r="10" spans="1:22" ht="9" customHeight="1">
      <c r="A10" s="371" t="s">
        <v>1101</v>
      </c>
      <c r="B10" s="371"/>
      <c r="C10" s="371"/>
      <c r="D10" s="371"/>
      <c r="E10" s="371"/>
      <c r="F10" s="371"/>
      <c r="G10" s="371"/>
      <c r="H10" s="371"/>
      <c r="I10" s="371"/>
      <c r="J10" s="371"/>
      <c r="K10" s="371"/>
      <c r="L10" s="371"/>
      <c r="M10" s="371"/>
      <c r="R10" s="264"/>
    </row>
    <row r="11" spans="1:22" ht="9" customHeight="1">
      <c r="A11" s="371" t="s">
        <v>1100</v>
      </c>
      <c r="B11" s="371"/>
      <c r="C11" s="371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R11" s="264"/>
    </row>
    <row r="12" spans="1:22" s="32" customFormat="1" ht="23.25" customHeight="1">
      <c r="A12" s="117" t="s">
        <v>1084</v>
      </c>
      <c r="B12" s="349" t="s">
        <v>1289</v>
      </c>
      <c r="C12" s="349"/>
      <c r="D12" s="349"/>
      <c r="E12" s="349"/>
      <c r="F12" s="31"/>
      <c r="G12" s="370"/>
      <c r="H12" s="370"/>
      <c r="I12" s="370"/>
      <c r="J12" s="370"/>
      <c r="K12" s="370"/>
      <c r="L12" s="370"/>
      <c r="M12" s="370"/>
      <c r="N12" s="33"/>
      <c r="O12" s="13"/>
      <c r="R12" s="420" t="s">
        <v>1593</v>
      </c>
      <c r="S12" s="419" t="s">
        <v>1133</v>
      </c>
      <c r="T12" s="419" t="s">
        <v>1132</v>
      </c>
      <c r="U12" s="419" t="s">
        <v>1134</v>
      </c>
      <c r="V12" s="416"/>
    </row>
    <row r="13" spans="1:22" s="11" customFormat="1" ht="23.25" customHeight="1">
      <c r="B13" s="378"/>
      <c r="C13" s="378"/>
      <c r="D13" s="378"/>
      <c r="E13" s="378"/>
      <c r="F13" s="46"/>
      <c r="G13" s="422" t="str">
        <f>IF(B13="","",VLOOKUP(B13,'H&amp;G'!B:U,7,FALSE))</f>
        <v/>
      </c>
      <c r="H13" s="422"/>
      <c r="I13" s="422"/>
      <c r="J13" s="422"/>
      <c r="K13" s="17" t="s">
        <v>820</v>
      </c>
      <c r="L13" s="39" t="str">
        <f>IF(B13="","0",VLOOKUP(B13,'H&amp;G'!B:R,6,FALSE))</f>
        <v>0</v>
      </c>
      <c r="M13" s="44" t="s">
        <v>832</v>
      </c>
      <c r="N13" s="50"/>
      <c r="O13" s="13"/>
      <c r="R13" s="420"/>
      <c r="S13" s="419"/>
      <c r="T13" s="419"/>
      <c r="U13" s="419"/>
      <c r="V13" s="416"/>
    </row>
    <row r="14" spans="1:22" ht="15.75" customHeight="1">
      <c r="A14" s="30" t="s">
        <v>1085</v>
      </c>
      <c r="B14" s="357" t="s">
        <v>1592</v>
      </c>
      <c r="C14" s="357"/>
      <c r="D14" s="357"/>
      <c r="E14" s="357"/>
      <c r="F14" s="357"/>
      <c r="G14" s="362" t="s">
        <v>1123</v>
      </c>
      <c r="H14" s="362"/>
      <c r="I14" s="362"/>
      <c r="J14" s="362"/>
      <c r="K14" s="415"/>
      <c r="L14" s="415"/>
      <c r="M14" s="415"/>
      <c r="N14" s="51"/>
      <c r="O14" s="14" t="s">
        <v>1276</v>
      </c>
      <c r="P14" s="14" t="s">
        <v>1115</v>
      </c>
      <c r="Q14" s="14" t="s">
        <v>1116</v>
      </c>
      <c r="R14" s="420"/>
      <c r="S14" s="419"/>
      <c r="T14" s="419"/>
      <c r="U14" s="419"/>
      <c r="V14" s="416"/>
    </row>
    <row r="15" spans="1:22" ht="15.75" customHeight="1">
      <c r="B15" s="203"/>
      <c r="C15" s="421" t="str">
        <f>IF(OR(B15="",B13=""),"",(B15-G15)*100/G15)</f>
        <v/>
      </c>
      <c r="D15" s="421"/>
      <c r="E15" s="421"/>
      <c r="F15" s="191"/>
      <c r="G15" s="192" t="str">
        <f>IF(B13="","",VLOOKUP(B13,'H&amp;G'!B:R,5,FALSE))</f>
        <v/>
      </c>
      <c r="H15" s="193" t="s">
        <v>1127</v>
      </c>
      <c r="I15" s="194" t="str">
        <f>IF(B13="","",VLOOKUP(B13,'H&amp;G'!B:R,4,FALSE))</f>
        <v/>
      </c>
      <c r="J15" s="195" t="s">
        <v>1128</v>
      </c>
      <c r="K15" s="17" t="s">
        <v>820</v>
      </c>
      <c r="L15" s="40" t="str">
        <f>IF(OR(O15="",O15=0,B15="",G15=0),"0",IF(C15&gt;0,ROUNDDOWN(C15/O15,0)*P15,ROUNDDOWN(C15/O15,0)*Q15))</f>
        <v>0</v>
      </c>
      <c r="M15" s="40" t="s">
        <v>832</v>
      </c>
      <c r="N15" s="49"/>
      <c r="O15" s="14" t="str">
        <f>IF(B13="","",VLOOKUP(B13,'H&amp;G'!B:R,11,FALSE))</f>
        <v/>
      </c>
      <c r="P15" s="14" t="str">
        <f>IF(B13="","",VLOOKUP(B13,'H&amp;G'!B:R,12,FALSE))</f>
        <v/>
      </c>
      <c r="Q15" s="14" t="str">
        <f>IF(B13="","",VLOOKUP(B13,'H&amp;G'!B:R,13,FALSE))</f>
        <v/>
      </c>
      <c r="R15" s="14" t="str">
        <f>IF(G15="","",VLOOKUP(B13,'H&amp;G'!B:E,2,FALSE))</f>
        <v/>
      </c>
      <c r="S15" s="182" t="str">
        <f>IF(B15="","",(VLOOKUP(B13,'H&amp;G'!B:E,2,FALSE))*B15/G15)</f>
        <v/>
      </c>
      <c r="T15" s="182" t="str">
        <f>IF(OR(R15="",B15=""),"",S15-R15)</f>
        <v/>
      </c>
      <c r="U15" s="14" t="str">
        <f>IF(G15="","",VLOOKUP(B13,'H&amp;G'!B:U,20,FALSE))</f>
        <v/>
      </c>
      <c r="V15" s="182"/>
    </row>
    <row r="16" spans="1:22" ht="15.75" hidden="1" customHeight="1">
      <c r="A16" s="357" t="s">
        <v>826</v>
      </c>
      <c r="B16" s="357"/>
      <c r="C16" s="357"/>
      <c r="D16" s="357"/>
      <c r="E16" s="357"/>
      <c r="F16" s="357"/>
      <c r="G16" s="357"/>
      <c r="H16" s="197"/>
      <c r="I16" s="197"/>
      <c r="J16" s="197"/>
      <c r="K16" s="15"/>
      <c r="L16" s="18"/>
      <c r="M16" s="18"/>
    </row>
    <row r="17" spans="1:19" ht="15.75" hidden="1" customHeight="1">
      <c r="B17" s="139"/>
      <c r="C17" s="375" t="str">
        <f>IF(B17="","", IF(B17="ja",",dann N-Zuschlag",",dann kein N-Zuschlag"))</f>
        <v/>
      </c>
      <c r="D17" s="375"/>
      <c r="E17" s="375"/>
      <c r="F17" s="375"/>
      <c r="G17" s="375"/>
      <c r="H17" s="205"/>
      <c r="I17" s="205"/>
      <c r="J17" s="205"/>
      <c r="K17" s="17" t="s">
        <v>820</v>
      </c>
      <c r="L17" s="40" t="str">
        <f>IF(OR(B17="",B17="nein"),"0",VLOOKUP(B17,'Verfrühung, Vorkultur'!A2:B4,2))</f>
        <v>0</v>
      </c>
      <c r="M17" s="40" t="s">
        <v>832</v>
      </c>
    </row>
    <row r="18" spans="1:19" s="32" customFormat="1" ht="27" customHeight="1">
      <c r="A18" s="381" t="s">
        <v>831</v>
      </c>
      <c r="B18" s="381"/>
      <c r="C18" s="381"/>
      <c r="D18" s="381"/>
      <c r="E18" s="381"/>
      <c r="F18" s="381"/>
      <c r="G18" s="381"/>
      <c r="H18" s="207"/>
      <c r="I18" s="207"/>
      <c r="J18" s="207"/>
      <c r="K18" s="34"/>
      <c r="L18" s="34"/>
      <c r="M18" s="34"/>
    </row>
    <row r="19" spans="1:19" ht="18.75" customHeight="1">
      <c r="A19" s="30" t="s">
        <v>1086</v>
      </c>
      <c r="B19" s="383" t="s">
        <v>1093</v>
      </c>
      <c r="C19" s="383"/>
      <c r="D19" s="383"/>
      <c r="E19" s="156" t="str">
        <f>IF(B13="","",VLOOKUP(B13,'H&amp;G'!B:R,8,FALSE))</f>
        <v/>
      </c>
      <c r="G19" s="157"/>
      <c r="H19" s="157"/>
      <c r="I19" s="157"/>
      <c r="J19" s="157"/>
      <c r="K19" s="15"/>
      <c r="L19" s="18"/>
      <c r="M19" s="18"/>
      <c r="S19" s="13" t="s">
        <v>819</v>
      </c>
    </row>
    <row r="20" spans="1:19" ht="15.75" customHeight="1">
      <c r="B20" s="198"/>
      <c r="C20" s="375"/>
      <c r="D20" s="375"/>
      <c r="E20" s="375"/>
      <c r="F20" s="375"/>
      <c r="G20" s="375"/>
      <c r="H20" s="205"/>
      <c r="I20" s="205"/>
      <c r="J20" s="205"/>
      <c r="K20" s="17" t="s">
        <v>820</v>
      </c>
      <c r="L20" s="40" t="str">
        <f>IF(B20="","0",-B20)</f>
        <v>0</v>
      </c>
      <c r="M20" s="40" t="s">
        <v>832</v>
      </c>
    </row>
    <row r="21" spans="1:19" s="32" customFormat="1" ht="18" customHeight="1">
      <c r="A21" s="117" t="s">
        <v>1087</v>
      </c>
      <c r="B21" s="377" t="s">
        <v>1091</v>
      </c>
      <c r="C21" s="377"/>
      <c r="D21" s="377"/>
      <c r="E21" s="377"/>
      <c r="F21" s="377"/>
      <c r="G21" s="377"/>
      <c r="H21" s="206"/>
      <c r="I21" s="206"/>
      <c r="J21" s="206"/>
      <c r="P21" s="32" t="s">
        <v>819</v>
      </c>
    </row>
    <row r="22" spans="1:19" ht="15.75" customHeight="1">
      <c r="B22" s="198"/>
      <c r="C22" s="375" t="str">
        <f>IF(B22="ja",",dann N-Nachlieferung aus Bodenvorrat",IF(B22="nein",",dann keine N-Nachlieferung aus Bodenvorrat",""))</f>
        <v/>
      </c>
      <c r="D22" s="375"/>
      <c r="E22" s="375"/>
      <c r="F22" s="375"/>
      <c r="G22" s="375"/>
      <c r="H22" s="205"/>
      <c r="I22" s="205"/>
      <c r="J22" s="205"/>
      <c r="K22" s="17" t="s">
        <v>820</v>
      </c>
      <c r="L22" s="40" t="str">
        <f>IF(B22="ja",-20,"0")</f>
        <v>0</v>
      </c>
      <c r="M22" s="40" t="s">
        <v>832</v>
      </c>
    </row>
    <row r="23" spans="1:19" ht="15.75" customHeight="1">
      <c r="A23" s="30" t="s">
        <v>1088</v>
      </c>
      <c r="B23" s="384" t="s">
        <v>1168</v>
      </c>
      <c r="C23" s="357"/>
      <c r="D23" s="357"/>
      <c r="E23" s="357"/>
      <c r="F23" s="357"/>
      <c r="G23" s="357"/>
      <c r="H23" s="417"/>
      <c r="I23" s="417"/>
      <c r="J23" s="417"/>
      <c r="K23" s="15"/>
      <c r="L23" s="18"/>
      <c r="M23" s="18"/>
    </row>
    <row r="24" spans="1:19" ht="15.75" customHeight="1">
      <c r="B24" s="358"/>
      <c r="C24" s="358"/>
      <c r="D24" s="358"/>
      <c r="E24" s="358"/>
      <c r="F24" s="358"/>
      <c r="G24" s="358"/>
      <c r="H24" s="358"/>
      <c r="I24" s="358"/>
      <c r="J24" s="358"/>
      <c r="K24" s="17" t="s">
        <v>820</v>
      </c>
      <c r="L24" s="113" t="str">
        <f>IF(B24="","0",-VLOOKUP(B24,'Tab 7 DüV_A-VF'!A:B,2))</f>
        <v>0</v>
      </c>
      <c r="M24" s="40" t="s">
        <v>832</v>
      </c>
    </row>
    <row r="25" spans="1:19" ht="15.75" customHeight="1">
      <c r="A25" s="30" t="s">
        <v>1089</v>
      </c>
      <c r="B25" s="418" t="s">
        <v>1163</v>
      </c>
      <c r="C25" s="417"/>
      <c r="D25" s="417"/>
      <c r="E25" s="417"/>
      <c r="F25" s="417"/>
      <c r="G25" s="417"/>
      <c r="H25" s="417"/>
      <c r="I25" s="417"/>
      <c r="J25" s="417"/>
      <c r="K25" s="17"/>
      <c r="L25" s="17"/>
      <c r="M25" s="17"/>
      <c r="N25" s="17"/>
    </row>
    <row r="26" spans="1:19" ht="15.75" customHeight="1">
      <c r="B26" s="358"/>
      <c r="C26" s="358"/>
      <c r="D26" s="358"/>
      <c r="E26" s="358"/>
      <c r="F26" s="358"/>
      <c r="G26" s="358"/>
      <c r="H26" s="358"/>
      <c r="I26" s="358"/>
      <c r="J26" s="358"/>
      <c r="K26" s="17" t="s">
        <v>820</v>
      </c>
      <c r="L26" s="113" t="str">
        <f>IF(B26="","0",-VLOOKUP(B26,'Tab 7 DüV_A-ZF'!A:B,2))</f>
        <v>0</v>
      </c>
      <c r="M26" s="40" t="s">
        <v>832</v>
      </c>
    </row>
    <row r="27" spans="1:19" ht="15.75" customHeight="1">
      <c r="A27" s="30" t="s">
        <v>1090</v>
      </c>
      <c r="B27" s="357" t="s">
        <v>836</v>
      </c>
      <c r="C27" s="357"/>
      <c r="D27" s="357"/>
      <c r="E27" s="357"/>
      <c r="F27" s="357"/>
      <c r="G27" s="357"/>
      <c r="H27" s="197"/>
      <c r="I27" s="197"/>
      <c r="J27" s="197"/>
      <c r="K27" s="15"/>
      <c r="L27" s="18"/>
      <c r="M27" s="18"/>
      <c r="N27" s="19"/>
    </row>
    <row r="28" spans="1:19" ht="15.75" customHeight="1" thickBot="1">
      <c r="A28" s="56">
        <v>1</v>
      </c>
      <c r="B28" s="376"/>
      <c r="C28" s="376"/>
      <c r="D28" s="376"/>
      <c r="E28" s="376"/>
      <c r="F28" s="376"/>
      <c r="G28" s="376"/>
      <c r="H28" s="376"/>
      <c r="I28" s="376"/>
      <c r="J28" s="376"/>
      <c r="K28" s="15"/>
      <c r="L28" s="20"/>
      <c r="M28" s="20"/>
      <c r="N28" s="19"/>
    </row>
    <row r="29" spans="1:19" ht="15.75" customHeight="1" thickBot="1">
      <c r="A29" s="56">
        <v>2</v>
      </c>
      <c r="B29" s="376"/>
      <c r="C29" s="376"/>
      <c r="D29" s="376"/>
      <c r="E29" s="376"/>
      <c r="F29" s="376"/>
      <c r="G29" s="376"/>
      <c r="H29" s="376"/>
      <c r="I29" s="376"/>
      <c r="J29" s="376"/>
      <c r="K29" s="15"/>
      <c r="L29" s="20"/>
      <c r="M29" s="20"/>
      <c r="N29" s="19"/>
    </row>
    <row r="30" spans="1:19" ht="15.75" customHeight="1" thickBot="1">
      <c r="A30" s="56">
        <v>3</v>
      </c>
      <c r="B30" s="376"/>
      <c r="C30" s="376"/>
      <c r="D30" s="376"/>
      <c r="E30" s="376"/>
      <c r="F30" s="376"/>
      <c r="G30" s="376"/>
      <c r="H30" s="376"/>
      <c r="I30" s="376"/>
      <c r="J30" s="376"/>
      <c r="K30" s="15"/>
      <c r="L30" s="20"/>
      <c r="M30" s="20"/>
      <c r="N30" s="19"/>
    </row>
    <row r="31" spans="1:19" ht="15.75" customHeight="1" thickBot="1">
      <c r="A31" s="56">
        <v>4</v>
      </c>
      <c r="B31" s="376"/>
      <c r="C31" s="376"/>
      <c r="D31" s="376"/>
      <c r="E31" s="376"/>
      <c r="F31" s="376"/>
      <c r="G31" s="376"/>
      <c r="H31" s="376"/>
      <c r="I31" s="376"/>
      <c r="J31" s="376"/>
      <c r="K31" s="15"/>
      <c r="L31" s="20"/>
      <c r="M31" s="20"/>
      <c r="N31" s="19"/>
    </row>
    <row r="32" spans="1:19" ht="15.75" customHeight="1">
      <c r="B32" s="357" t="s">
        <v>824</v>
      </c>
      <c r="C32" s="357"/>
      <c r="D32" s="357"/>
      <c r="E32" s="357"/>
      <c r="F32" s="357"/>
      <c r="G32" s="357"/>
      <c r="H32" s="197"/>
      <c r="I32" s="197"/>
      <c r="J32" s="197"/>
      <c r="K32" s="211"/>
      <c r="L32" s="21"/>
      <c r="M32" s="21"/>
    </row>
    <row r="33" spans="1:14" ht="15.75" customHeight="1" thickBot="1">
      <c r="A33" s="56">
        <v>1</v>
      </c>
      <c r="B33" s="183"/>
      <c r="C33" s="208" t="str">
        <f>IF(OR(B28="_keine",B28=""),"",VLOOKUP(B28,'Tab org. D_N-expert'!B:C,2,FALSE))</f>
        <v/>
      </c>
      <c r="D33" s="407" t="str">
        <f>IF(OR(B28="_keine",B28=""),"",VLOOKUP(B28,'Tab org. D_N-expert'!B:F,3,FALSE))</f>
        <v/>
      </c>
      <c r="E33" s="407"/>
      <c r="F33" s="407"/>
      <c r="G33" s="412" t="str">
        <f>IF(OR(B28="_keine",B28=""),"",IF(C33="t/ha","kg/t Frischmasse",IF(C33="m³/ha","kg/m³ Frischmasse")))</f>
        <v/>
      </c>
      <c r="H33" s="412"/>
      <c r="I33" s="412"/>
      <c r="J33" s="412"/>
      <c r="K33" s="17" t="s">
        <v>820</v>
      </c>
      <c r="L33" s="40" t="str">
        <f>IF(OR(B28="",B28="_keine"),"0",-(B33*D33/10))</f>
        <v>0</v>
      </c>
      <c r="M33" s="40" t="s">
        <v>832</v>
      </c>
    </row>
    <row r="34" spans="1:14" ht="15.75" customHeight="1" thickBot="1">
      <c r="A34" s="56">
        <v>2</v>
      </c>
      <c r="B34" s="183"/>
      <c r="C34" s="208" t="str">
        <f>IF(OR(B29="_keine",B29=""),"",VLOOKUP(B29,'Tab org. D_N-expert'!B:C,2,FALSE))</f>
        <v/>
      </c>
      <c r="D34" s="408" t="str">
        <f>IF(OR(B29="_keine",B29=""),"",VLOOKUP(B29,'Tab org. D_N-expert'!B:F,3,FALSE))</f>
        <v/>
      </c>
      <c r="E34" s="361"/>
      <c r="F34" s="361"/>
      <c r="G34" s="411" t="str">
        <f>IF(OR(B29="_keine",B29=""),"",IF(C34="t/ha","kg/t Frischmasse",IF(C34="m³/ha","kg/m³ Frischmasse")))</f>
        <v/>
      </c>
      <c r="H34" s="411"/>
      <c r="I34" s="411"/>
      <c r="J34" s="411"/>
      <c r="K34" s="17" t="s">
        <v>820</v>
      </c>
      <c r="L34" s="40" t="str">
        <f>IF(OR(B29="",B29="_keine"),"0",-(B34*D34/10))</f>
        <v>0</v>
      </c>
      <c r="M34" s="40" t="s">
        <v>832</v>
      </c>
    </row>
    <row r="35" spans="1:14" ht="15.75" customHeight="1" thickBot="1">
      <c r="A35" s="56">
        <v>3</v>
      </c>
      <c r="B35" s="183"/>
      <c r="C35" s="208" t="str">
        <f>IF(OR(B30="_keine",B30=""),"",VLOOKUP(B30,'Tab org. D_N-expert'!B:C,2,FALSE))</f>
        <v/>
      </c>
      <c r="D35" s="408" t="str">
        <f>IF(OR(B30="_keine",B30=""),"",VLOOKUP(B30,'Tab org. D_N-expert'!B:F,3,FALSE))</f>
        <v/>
      </c>
      <c r="E35" s="408"/>
      <c r="F35" s="408"/>
      <c r="G35" s="411" t="str">
        <f>IF(OR(B30="_keine",B30=""),"",IF(C35="t/ha","kg/t Frischmasse",IF(C35="m³/ha","kg/m³ Frischmasse")))</f>
        <v/>
      </c>
      <c r="H35" s="411"/>
      <c r="I35" s="411"/>
      <c r="J35" s="411"/>
      <c r="K35" s="17" t="s">
        <v>820</v>
      </c>
      <c r="L35" s="40" t="str">
        <f>IF(OR(B30="",B30="_keine"),"0",-(B35*D35/10))</f>
        <v>0</v>
      </c>
      <c r="M35" s="40" t="s">
        <v>832</v>
      </c>
    </row>
    <row r="36" spans="1:14" ht="15.75" customHeight="1" thickBot="1">
      <c r="A36" s="56">
        <v>4</v>
      </c>
      <c r="B36" s="183"/>
      <c r="C36" s="208" t="str">
        <f>IF(OR(B31="_keine",B31=""),"",VLOOKUP(B31,'Tab org. D_N-expert'!B:C,2,FALSE))</f>
        <v/>
      </c>
      <c r="D36" s="409" t="str">
        <f>IF(OR(B31="_keine",B31=""),"",VLOOKUP(B31,'Tab org. D_N-expert'!B:F,3,FALSE))</f>
        <v/>
      </c>
      <c r="E36" s="380"/>
      <c r="F36" s="380"/>
      <c r="G36" s="410" t="str">
        <f>IF(OR(B31="_keine",B31=""),"",IF(C36="t/ha","kg/t Frischmasse",IF(C36="m³/ha","kg/m³ Frischmasse")))</f>
        <v/>
      </c>
      <c r="H36" s="410"/>
      <c r="I36" s="410"/>
      <c r="J36" s="410"/>
      <c r="K36" s="17" t="s">
        <v>820</v>
      </c>
      <c r="L36" s="40" t="str">
        <f>IF(OR(B31="",B31="_keine"),"0",-(B36*D36/10))</f>
        <v>0</v>
      </c>
      <c r="M36" s="40" t="s">
        <v>832</v>
      </c>
    </row>
    <row r="37" spans="1:14" ht="15.75" customHeight="1">
      <c r="A37" s="30" t="s">
        <v>1081</v>
      </c>
      <c r="B37" s="357" t="s">
        <v>827</v>
      </c>
      <c r="C37" s="357"/>
      <c r="D37" s="357"/>
      <c r="E37" s="357"/>
      <c r="F37" s="357"/>
      <c r="G37" s="357"/>
      <c r="H37" s="197"/>
      <c r="I37" s="197"/>
      <c r="J37" s="197"/>
      <c r="K37" s="15"/>
      <c r="L37" s="18"/>
      <c r="M37" s="18"/>
      <c r="N37" s="19"/>
    </row>
    <row r="38" spans="1:14" ht="15.75" customHeight="1">
      <c r="B38" s="358"/>
      <c r="C38" s="358"/>
      <c r="D38" s="358"/>
      <c r="E38" s="358"/>
      <c r="F38" s="358"/>
      <c r="G38" s="358"/>
      <c r="H38" s="358"/>
      <c r="I38" s="358"/>
      <c r="J38" s="358"/>
      <c r="K38" s="15"/>
      <c r="L38" s="18"/>
      <c r="M38" s="18"/>
      <c r="N38" s="19"/>
    </row>
    <row r="39" spans="1:14" ht="15.75" customHeight="1">
      <c r="A39" s="12"/>
      <c r="B39" s="357" t="s">
        <v>824</v>
      </c>
      <c r="C39" s="357"/>
      <c r="D39" s="357"/>
      <c r="E39" s="357"/>
      <c r="F39" s="357"/>
      <c r="G39" s="357"/>
      <c r="H39" s="197"/>
      <c r="I39" s="197"/>
      <c r="J39" s="197"/>
      <c r="K39" s="15"/>
      <c r="L39" s="21"/>
      <c r="M39" s="21"/>
    </row>
    <row r="40" spans="1:14" ht="15.75" customHeight="1">
      <c r="B40" s="186"/>
      <c r="C40" s="30" t="s">
        <v>816</v>
      </c>
      <c r="D40" s="406" t="str">
        <f>IF(OR(B38="_keine",B38=""),"",VLOOKUP(B38,'Tab org. Kompost_N-expert'!B:D,3,FALSE))</f>
        <v/>
      </c>
      <c r="E40" s="356"/>
      <c r="F40" s="356"/>
      <c r="G40" s="403" t="str">
        <f>IF(OR(B38="_keine",B38=""),"","kg/t Frischmasse")</f>
        <v/>
      </c>
      <c r="H40" s="403"/>
      <c r="I40" s="403"/>
      <c r="J40" s="403"/>
      <c r="K40" s="17" t="s">
        <v>820</v>
      </c>
      <c r="L40" s="40" t="str">
        <f>IF(OR(B38="",B38="_keine"),"0",(-B40*D40*4/100))</f>
        <v>0</v>
      </c>
      <c r="M40" s="40" t="s">
        <v>832</v>
      </c>
    </row>
    <row r="41" spans="1:14" ht="15.75" customHeight="1">
      <c r="B41" s="357" t="s">
        <v>828</v>
      </c>
      <c r="C41" s="357"/>
      <c r="D41" s="357"/>
      <c r="E41" s="357"/>
      <c r="F41" s="357"/>
      <c r="G41" s="357"/>
      <c r="H41" s="197"/>
      <c r="I41" s="197"/>
      <c r="J41" s="197"/>
      <c r="K41" s="15"/>
      <c r="L41" s="18"/>
      <c r="M41" s="18"/>
      <c r="N41" s="19"/>
    </row>
    <row r="42" spans="1:14" ht="15.75" customHeight="1">
      <c r="B42" s="358"/>
      <c r="C42" s="358"/>
      <c r="D42" s="358"/>
      <c r="E42" s="358"/>
      <c r="F42" s="358"/>
      <c r="G42" s="358"/>
      <c r="H42" s="358"/>
      <c r="I42" s="358"/>
      <c r="J42" s="358"/>
      <c r="K42" s="15"/>
      <c r="L42" s="20"/>
      <c r="M42" s="20"/>
      <c r="N42" s="19"/>
    </row>
    <row r="43" spans="1:14" ht="15.75" customHeight="1">
      <c r="B43" s="357" t="s">
        <v>824</v>
      </c>
      <c r="C43" s="357"/>
      <c r="D43" s="357"/>
      <c r="E43" s="357"/>
      <c r="F43" s="357"/>
      <c r="G43" s="357"/>
      <c r="H43" s="197"/>
      <c r="I43" s="197"/>
      <c r="J43" s="197"/>
      <c r="K43" s="15"/>
      <c r="L43" s="21"/>
      <c r="M43" s="21"/>
    </row>
    <row r="44" spans="1:14" ht="15.75" customHeight="1">
      <c r="B44" s="186"/>
      <c r="C44" s="30" t="s">
        <v>816</v>
      </c>
      <c r="D44" s="406" t="str">
        <f>IF(OR(B42="_keine",B42=""),"",VLOOKUP(B42,'Tab org. Kompost_N-expert'!B:D,3,FALSE))</f>
        <v/>
      </c>
      <c r="E44" s="356"/>
      <c r="F44" s="356"/>
      <c r="G44" s="403" t="str">
        <f>IF(OR(B42="_keine",B42=""),"","kg/t Frischmasse")</f>
        <v/>
      </c>
      <c r="H44" s="403"/>
      <c r="I44" s="403"/>
      <c r="J44" s="403"/>
      <c r="K44" s="17" t="s">
        <v>820</v>
      </c>
      <c r="L44" s="40" t="str">
        <f>IF(OR(B42="",B42="_keine"),"0",(-B44*D44*3/100))</f>
        <v>0</v>
      </c>
      <c r="M44" s="40" t="s">
        <v>832</v>
      </c>
    </row>
    <row r="45" spans="1:14" ht="15.75" customHeight="1">
      <c r="B45" s="362" t="s">
        <v>829</v>
      </c>
      <c r="C45" s="362"/>
      <c r="D45" s="362"/>
      <c r="E45" s="362"/>
      <c r="F45" s="362"/>
      <c r="G45" s="362"/>
      <c r="H45" s="199"/>
      <c r="I45" s="199"/>
      <c r="J45" s="199"/>
      <c r="K45" s="15"/>
      <c r="L45" s="18"/>
      <c r="M45" s="18"/>
      <c r="N45" s="19"/>
    </row>
    <row r="46" spans="1:14" ht="15.75" customHeight="1">
      <c r="B46" s="358"/>
      <c r="C46" s="358"/>
      <c r="D46" s="358"/>
      <c r="E46" s="358"/>
      <c r="F46" s="358"/>
      <c r="G46" s="358"/>
      <c r="H46" s="358"/>
      <c r="I46" s="358"/>
      <c r="J46" s="358"/>
      <c r="K46" s="15"/>
      <c r="L46" s="20"/>
      <c r="M46" s="20"/>
      <c r="N46" s="19"/>
    </row>
    <row r="47" spans="1:14" ht="15.75" customHeight="1">
      <c r="B47" s="357" t="s">
        <v>824</v>
      </c>
      <c r="C47" s="357"/>
      <c r="D47" s="357"/>
      <c r="E47" s="357"/>
      <c r="F47" s="357"/>
      <c r="G47" s="357"/>
      <c r="H47" s="197"/>
      <c r="I47" s="197"/>
      <c r="J47" s="197"/>
      <c r="K47" s="15"/>
      <c r="L47" s="18"/>
      <c r="M47" s="18"/>
    </row>
    <row r="48" spans="1:14" ht="15.75" customHeight="1">
      <c r="B48" s="186"/>
      <c r="C48" s="30" t="s">
        <v>816</v>
      </c>
      <c r="D48" s="406" t="str">
        <f>IF(OR(B46="_keine",B46=""),"",VLOOKUP(B46,'Tab org. Kompost_N-expert'!B:D,3,FALSE))</f>
        <v/>
      </c>
      <c r="E48" s="356"/>
      <c r="F48" s="356"/>
      <c r="G48" s="403" t="str">
        <f>IF(OR(B46="_keine",B46=""),"","kg/t Frischmasse")</f>
        <v/>
      </c>
      <c r="H48" s="403"/>
      <c r="I48" s="403"/>
      <c r="J48" s="403"/>
      <c r="K48" s="17" t="s">
        <v>820</v>
      </c>
      <c r="L48" s="40" t="str">
        <f>IF(OR(B46="",B46="_keine"),"0",(-B48*D48*3/100))</f>
        <v>0</v>
      </c>
      <c r="M48" s="40" t="s">
        <v>832</v>
      </c>
      <c r="N48" s="199"/>
    </row>
    <row r="49" spans="1:14" s="11" customFormat="1" ht="7.5" customHeight="1">
      <c r="A49" s="7"/>
      <c r="B49" s="8"/>
      <c r="C49" s="23"/>
      <c r="D49" s="23"/>
      <c r="E49" s="23"/>
      <c r="F49" s="23"/>
      <c r="G49" s="201"/>
      <c r="H49" s="201"/>
      <c r="I49" s="201"/>
      <c r="J49" s="201"/>
      <c r="K49" s="24"/>
      <c r="L49" s="25"/>
      <c r="M49" s="25"/>
      <c r="N49" s="26"/>
    </row>
    <row r="50" spans="1:14" s="27" customFormat="1" ht="22.5" customHeight="1">
      <c r="B50" s="374" t="s">
        <v>1097</v>
      </c>
      <c r="C50" s="374"/>
      <c r="D50" s="374"/>
      <c r="E50" s="374"/>
      <c r="F50" s="374"/>
      <c r="G50" s="374"/>
      <c r="H50" s="204"/>
      <c r="I50" s="204"/>
      <c r="J50" s="204"/>
      <c r="K50" s="29"/>
      <c r="L50" s="41">
        <f>IF(SUM(L13:L48)&lt;0,"0",SUM(L13:L48))</f>
        <v>0</v>
      </c>
      <c r="M50" s="43" t="s">
        <v>832</v>
      </c>
      <c r="N50" s="28"/>
    </row>
    <row r="51" spans="1:14" s="27" customFormat="1" ht="66.75" customHeight="1">
      <c r="B51" s="404" t="s">
        <v>1279</v>
      </c>
      <c r="C51" s="405"/>
      <c r="D51" s="405"/>
      <c r="E51" s="405"/>
      <c r="F51" s="405"/>
      <c r="G51" s="405"/>
      <c r="H51" s="405"/>
      <c r="I51" s="405"/>
      <c r="J51" s="405"/>
      <c r="K51" s="405"/>
      <c r="L51" s="405"/>
      <c r="M51" s="405"/>
      <c r="N51" s="28"/>
    </row>
    <row r="52" spans="1:14" s="27" customFormat="1" ht="14.25" customHeight="1">
      <c r="A52" s="352"/>
      <c r="B52" s="352"/>
      <c r="C52" s="352"/>
      <c r="D52" s="352"/>
      <c r="E52" s="352"/>
      <c r="F52" s="352"/>
      <c r="G52" s="352"/>
      <c r="H52" s="196"/>
      <c r="I52" s="196"/>
      <c r="J52" s="196"/>
      <c r="K52" s="38"/>
      <c r="L52" s="42"/>
      <c r="M52" s="42"/>
      <c r="N52" s="28"/>
    </row>
  </sheetData>
  <sheetProtection algorithmName="SHA-512" hashValue="h2Aro3LXGzrYsZMuZRLJKEckGb/O/k/wZJLEMVAVtsjqHIi2G6JkmiJx2gzRYHfWtY3kFQZyxJFLwEbNZhed8Q==" saltValue="KZe1/UQ0GnC3wWXlizLXNA==" spinCount="100000" sheet="1" objects="1" scenarios="1" selectLockedCells="1"/>
  <mergeCells count="70">
    <mergeCell ref="V12:V14"/>
    <mergeCell ref="B23:J23"/>
    <mergeCell ref="B25:J25"/>
    <mergeCell ref="B26:J26"/>
    <mergeCell ref="U12:U14"/>
    <mergeCell ref="R12:R14"/>
    <mergeCell ref="S12:S14"/>
    <mergeCell ref="T12:T14"/>
    <mergeCell ref="B19:D19"/>
    <mergeCell ref="C20:G20"/>
    <mergeCell ref="B21:G21"/>
    <mergeCell ref="C15:E15"/>
    <mergeCell ref="G13:J13"/>
    <mergeCell ref="B13:E13"/>
    <mergeCell ref="A16:G16"/>
    <mergeCell ref="A18:G18"/>
    <mergeCell ref="A7:C7"/>
    <mergeCell ref="L7:M7"/>
    <mergeCell ref="A9:M9"/>
    <mergeCell ref="A10:M10"/>
    <mergeCell ref="C22:G22"/>
    <mergeCell ref="K14:M14"/>
    <mergeCell ref="G7:J7"/>
    <mergeCell ref="A11:M11"/>
    <mergeCell ref="B12:E12"/>
    <mergeCell ref="G12:M12"/>
    <mergeCell ref="G14:J14"/>
    <mergeCell ref="A1:M1"/>
    <mergeCell ref="A3:G3"/>
    <mergeCell ref="A4:G4"/>
    <mergeCell ref="K5:L5"/>
    <mergeCell ref="A6:C6"/>
    <mergeCell ref="L6:M6"/>
    <mergeCell ref="A5:G5"/>
    <mergeCell ref="G6:J6"/>
    <mergeCell ref="B27:G27"/>
    <mergeCell ref="B28:J28"/>
    <mergeCell ref="B29:J29"/>
    <mergeCell ref="B30:J30"/>
    <mergeCell ref="B14:F14"/>
    <mergeCell ref="B24:J24"/>
    <mergeCell ref="C17:G17"/>
    <mergeCell ref="B31:J31"/>
    <mergeCell ref="B37:G37"/>
    <mergeCell ref="B39:G39"/>
    <mergeCell ref="D40:F40"/>
    <mergeCell ref="B41:G41"/>
    <mergeCell ref="B38:J38"/>
    <mergeCell ref="G40:J40"/>
    <mergeCell ref="B32:G32"/>
    <mergeCell ref="D33:F33"/>
    <mergeCell ref="D34:F34"/>
    <mergeCell ref="D35:F35"/>
    <mergeCell ref="D36:F36"/>
    <mergeCell ref="G36:J36"/>
    <mergeCell ref="G35:J35"/>
    <mergeCell ref="G34:J34"/>
    <mergeCell ref="G33:J33"/>
    <mergeCell ref="A52:G52"/>
    <mergeCell ref="D44:F44"/>
    <mergeCell ref="B45:G45"/>
    <mergeCell ref="B47:G47"/>
    <mergeCell ref="D48:F48"/>
    <mergeCell ref="B50:G50"/>
    <mergeCell ref="B46:J46"/>
    <mergeCell ref="B43:G43"/>
    <mergeCell ref="B42:J42"/>
    <mergeCell ref="G44:J44"/>
    <mergeCell ref="G48:J48"/>
    <mergeCell ref="B51:M51"/>
  </mergeCells>
  <conditionalFormatting sqref="L13:M13 L19:M20 L15:M17 L22:M23 L27:M50">
    <cfRule type="cellIs" dxfId="233" priority="6" operator="lessThan">
      <formula>0</formula>
    </cfRule>
  </conditionalFormatting>
  <conditionalFormatting sqref="L52">
    <cfRule type="cellIs" dxfId="232" priority="5" operator="lessThan">
      <formula>0</formula>
    </cfRule>
  </conditionalFormatting>
  <conditionalFormatting sqref="N13">
    <cfRule type="cellIs" dxfId="231" priority="4" operator="lessThan">
      <formula>0</formula>
    </cfRule>
  </conditionalFormatting>
  <conditionalFormatting sqref="N12">
    <cfRule type="cellIs" dxfId="230" priority="3" operator="lessThan">
      <formula>0</formula>
    </cfRule>
  </conditionalFormatting>
  <conditionalFormatting sqref="M52">
    <cfRule type="cellIs" dxfId="229" priority="2" operator="lessThan">
      <formula>0</formula>
    </cfRule>
  </conditionalFormatting>
  <conditionalFormatting sqref="L24:M24 L26:M26">
    <cfRule type="cellIs" dxfId="228" priority="1" operator="lessThan">
      <formula>0</formula>
    </cfRule>
  </conditionalFormatting>
  <dataValidations count="2">
    <dataValidation allowBlank="1" showInputMessage="1" showErrorMessage="1" errorTitle="Datum" error="Sie haben kein Datum eingegeben!" prompt="TT.MM.JJ" sqref="E7"/>
    <dataValidation type="list" allowBlank="1" showInputMessage="1" showErrorMessage="1" error="Kultur aus der Dropdown-Liste auswählen. Für fehelnde Kulturen sind derzeit keine N-Bedarfsermittlungen möglich." sqref="B13:E13">
      <formula1>HG</formula1>
    </dataValidation>
  </dataValidations>
  <pageMargins left="0.78740157480314965" right="0.39370078740157483" top="0.78740157480314965" bottom="0.19685039370078741" header="0.31496062992125984" footer="0.31496062992125984"/>
  <pageSetup paperSize="9" scale="95" orientation="portrait" r:id="rId1"/>
  <headerFooter>
    <oddHeader xml:space="preserve">&amp;L&amp;8Dienstleistungszentrum Ländlicher Raum (DLR) - Rheinpfalz, Breitenweg 71, 67435 Neustadt/Weinstraße
Alle Angaben ohne Gewähr. </oddHead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'Verfrühung, Vorkultur'!$A$2:$A$3</xm:f>
          </x14:formula1>
          <xm:sqref>B17 B22</xm:sqref>
        </x14:dataValidation>
        <x14:dataValidation type="list" allowBlank="1" showInputMessage="1" showErrorMessage="1" error="Vorfrucht, Zwischenfrucht aus der Dropdown-Liste auswählen. ">
          <x14:formula1>
            <xm:f>'Tab 7 DüV_A-VF'!$A$2:$A$18</xm:f>
          </x14:formula1>
          <xm:sqref>B24:G24</xm:sqref>
        </x14:dataValidation>
        <x14:dataValidation type="list" allowBlank="1" showInputMessage="1" showErrorMessage="1" error="Vorfrucht, Zwischenfrucht aus der Dropdown-Liste auswählen. ">
          <x14:formula1>
            <xm:f>'Tab 7 DüV_A-ZF'!$A$2:$A$9</xm:f>
          </x14:formula1>
          <xm:sqref>B26:J26</xm:sqref>
        </x14:dataValidation>
        <x14:dataValidation type="list" allowBlank="1" showInputMessage="1" showErrorMessage="1" error="Kompost aus der Dropdown-Liste auswählen. Andere sind derzeit nicht verfügbar.">
          <x14:formula1>
            <xm:f>'Tab org. Kompost_N-expert'!$B$2:$B$48</xm:f>
          </x14:formula1>
          <xm:sqref>B38:J38 B42:J42 B46:J46</xm:sqref>
        </x14:dataValidation>
        <x14:dataValidation type="list" allowBlank="1" showInputMessage="1" showErrorMessage="1" error="Dünger aus der Dropdown-Liste auswählen. Andere sind derzeit nicht verfügbar.">
          <x14:formula1>
            <xm:f>'Tab org. D_N-expert'!$B$2:$B$540</xm:f>
          </x14:formula1>
          <xm:sqref>B28:J31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S35"/>
  <sheetViews>
    <sheetView showGridLines="0" zoomScaleNormal="100" zoomScaleSheetLayoutView="130" workbookViewId="0">
      <selection activeCell="B16" sqref="B16"/>
    </sheetView>
  </sheetViews>
  <sheetFormatPr baseColWidth="10" defaultRowHeight="15.75"/>
  <cols>
    <col min="1" max="1" width="2.85546875" style="13" customWidth="1"/>
    <col min="2" max="2" width="9.5703125" style="13" customWidth="1"/>
    <col min="3" max="3" width="11.5703125" style="13" customWidth="1"/>
    <col min="4" max="4" width="2.85546875" style="13" customWidth="1"/>
    <col min="5" max="5" width="15" style="13" customWidth="1"/>
    <col min="6" max="6" width="2.42578125" style="13" customWidth="1"/>
    <col min="7" max="7" width="10.42578125" style="13" customWidth="1"/>
    <col min="8" max="8" width="7.85546875" style="13" customWidth="1"/>
    <col min="9" max="9" width="7.140625" style="13" customWidth="1"/>
    <col min="10" max="10" width="6.5703125" style="14" customWidth="1"/>
    <col min="11" max="11" width="7.85546875" style="13" customWidth="1"/>
    <col min="12" max="12" width="7.140625" style="13" customWidth="1"/>
    <col min="13" max="13" width="10.140625" style="13" customWidth="1"/>
    <col min="14" max="16" width="16.7109375" style="13" customWidth="1"/>
    <col min="17" max="16384" width="11.42578125" style="13"/>
  </cols>
  <sheetData>
    <row r="1" spans="1:16" ht="31.5">
      <c r="A1" s="364" t="s">
        <v>1287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</row>
    <row r="2" spans="1:16" ht="4.5" customHeight="1"/>
    <row r="3" spans="1:16" ht="13.5" customHeight="1">
      <c r="A3" s="369" t="str">
        <f>'N-Bedarf Gemüse Erdbeere'!A3:G3</f>
        <v>Version für Excel 2010 und höher, DLR Rheinpfalz Mahler/Ziegler</v>
      </c>
      <c r="B3" s="369"/>
      <c r="C3" s="369"/>
      <c r="D3" s="369"/>
      <c r="E3" s="369"/>
      <c r="F3" s="369"/>
      <c r="G3" s="369"/>
      <c r="H3" s="369"/>
      <c r="I3" s="176"/>
      <c r="J3" s="160" t="str">
        <f>'N-Bedarf Gemüse Erdbeere'!H3</f>
        <v>Stand:</v>
      </c>
      <c r="K3" s="159">
        <f>'N-Bedarf Gemüse Erdbeere'!I3</f>
        <v>45335</v>
      </c>
    </row>
    <row r="4" spans="1:16" ht="9.75" customHeight="1">
      <c r="A4" s="413" t="str">
        <f>'N-Bedarf Gemüse Erdbeere'!A4:G4</f>
        <v>Quellen: DüV 2017/Änd. 2020, N-Expertdaten IGZ Großbeeren</v>
      </c>
      <c r="B4" s="413"/>
      <c r="C4" s="413"/>
      <c r="D4" s="413"/>
      <c r="E4" s="413"/>
      <c r="F4" s="413"/>
      <c r="G4" s="413"/>
      <c r="H4" s="174"/>
      <c r="I4" s="174"/>
      <c r="J4" s="35"/>
      <c r="K4" s="36"/>
      <c r="L4" s="36"/>
    </row>
    <row r="5" spans="1:16" ht="14.25" customHeight="1">
      <c r="A5" s="414" t="s">
        <v>1125</v>
      </c>
      <c r="B5" s="414"/>
      <c r="C5" s="414"/>
      <c r="D5" s="414"/>
      <c r="E5" s="414"/>
      <c r="F5" s="414"/>
      <c r="G5" s="414"/>
      <c r="J5" s="367"/>
      <c r="K5" s="367"/>
      <c r="L5" s="175"/>
    </row>
    <row r="6" spans="1:16" ht="15.75" customHeight="1">
      <c r="A6" s="365" t="s">
        <v>7</v>
      </c>
      <c r="B6" s="398"/>
      <c r="C6" s="398"/>
      <c r="D6" s="9"/>
      <c r="E6" s="30" t="s">
        <v>821</v>
      </c>
      <c r="F6" s="173"/>
      <c r="G6" s="365" t="s">
        <v>834</v>
      </c>
      <c r="H6" s="365"/>
      <c r="I6" s="365"/>
      <c r="J6" s="173"/>
      <c r="K6" s="365" t="s">
        <v>825</v>
      </c>
      <c r="L6" s="365"/>
    </row>
    <row r="7" spans="1:16" ht="15.75" customHeight="1">
      <c r="A7" s="396" t="str">
        <f>IF('N-Bedarf H&amp;G'!A7:C7="","",'N-Bedarf H&amp;G'!A7:C7)</f>
        <v/>
      </c>
      <c r="B7" s="396"/>
      <c r="C7" s="396"/>
      <c r="E7" s="150" t="str">
        <f>IF('N-Bedarf H&amp;G'!E7="","",'N-Bedarf H&amp;G'!E7)</f>
        <v/>
      </c>
      <c r="G7" s="396" t="str">
        <f>IF('N-Bedarf H&amp;G'!G7="","",'N-Bedarf H&amp;G'!G7)</f>
        <v/>
      </c>
      <c r="H7" s="396"/>
      <c r="I7" s="396"/>
      <c r="J7" s="45"/>
      <c r="K7" s="430" t="str">
        <f>IF('N-Bedarf H&amp;G'!L7="","",'N-Bedarf H&amp;G'!L7)</f>
        <v/>
      </c>
      <c r="L7" s="430"/>
    </row>
    <row r="8" spans="1:16" ht="7.5" customHeight="1">
      <c r="A8" s="10"/>
      <c r="B8" s="10"/>
      <c r="C8" s="10"/>
      <c r="D8" s="10"/>
      <c r="E8" s="10"/>
      <c r="F8" s="10"/>
      <c r="G8" s="10"/>
      <c r="H8" s="10"/>
      <c r="I8" s="10"/>
      <c r="K8" s="16"/>
      <c r="L8" s="16"/>
    </row>
    <row r="9" spans="1:16" s="32" customFormat="1" ht="33" customHeight="1">
      <c r="A9" s="371" t="s">
        <v>1099</v>
      </c>
      <c r="B9" s="371"/>
      <c r="C9" s="371"/>
      <c r="D9" s="371"/>
      <c r="E9" s="371"/>
      <c r="F9" s="371"/>
      <c r="G9" s="371"/>
      <c r="H9" s="371"/>
      <c r="I9" s="371"/>
      <c r="J9" s="371"/>
      <c r="K9" s="371"/>
      <c r="L9" s="371"/>
      <c r="M9" s="176"/>
    </row>
    <row r="10" spans="1:16" s="32" customFormat="1" ht="23.25">
      <c r="A10" s="117" t="s">
        <v>1084</v>
      </c>
      <c r="B10" s="349" t="s">
        <v>1289</v>
      </c>
      <c r="C10" s="349"/>
      <c r="D10" s="349"/>
      <c r="E10" s="349"/>
      <c r="F10" s="31"/>
      <c r="G10" s="370"/>
      <c r="H10" s="370"/>
      <c r="I10" s="370"/>
      <c r="J10" s="370"/>
      <c r="K10" s="370"/>
      <c r="L10" s="370"/>
      <c r="M10" s="33"/>
      <c r="N10" s="13"/>
    </row>
    <row r="11" spans="1:16" s="11" customFormat="1" ht="23.25">
      <c r="B11" s="400" t="str">
        <f>IF('N-Bedarf H&amp;G'!B13="","",'N-Bedarf H&amp;G'!B13)</f>
        <v/>
      </c>
      <c r="C11" s="400"/>
      <c r="D11" s="400"/>
      <c r="E11" s="400"/>
      <c r="F11" s="46"/>
      <c r="G11" s="431" t="str">
        <f>IF(B11="","",VLOOKUP(B11,'H&amp;G'!B:R,5,FALSE))</f>
        <v/>
      </c>
      <c r="H11" s="431"/>
      <c r="I11" s="431"/>
      <c r="J11" s="17" t="s">
        <v>820</v>
      </c>
      <c r="K11" s="39" t="str">
        <f>IF(B11="","0",VLOOKUP(B11,'H&amp;G'!B:R,15,FALSE)*VLOOKUP(B11,'H&amp;G'!B:U,2,FALSE))</f>
        <v>0</v>
      </c>
      <c r="L11" s="44" t="s">
        <v>832</v>
      </c>
      <c r="M11" s="50"/>
      <c r="N11" s="13"/>
    </row>
    <row r="12" spans="1:16" s="11" customFormat="1" ht="23.25">
      <c r="A12" s="381" t="s">
        <v>852</v>
      </c>
      <c r="B12" s="381"/>
      <c r="C12" s="381"/>
      <c r="D12" s="381"/>
      <c r="E12" s="13"/>
      <c r="F12" s="46"/>
      <c r="J12" s="17"/>
      <c r="K12" s="63"/>
      <c r="L12" s="63"/>
      <c r="M12" s="50"/>
      <c r="N12" s="13"/>
    </row>
    <row r="13" spans="1:16" ht="15.75" customHeight="1">
      <c r="A13" s="30" t="s">
        <v>1085</v>
      </c>
      <c r="B13" s="362" t="s">
        <v>1121</v>
      </c>
      <c r="C13" s="362"/>
      <c r="D13" s="362"/>
      <c r="E13" s="362"/>
      <c r="F13" s="362"/>
      <c r="G13" s="362"/>
      <c r="H13" s="362"/>
      <c r="I13" s="362"/>
      <c r="J13" s="15"/>
      <c r="K13" s="16"/>
      <c r="L13" s="16"/>
      <c r="M13" s="50"/>
      <c r="N13" s="14"/>
      <c r="O13" s="14"/>
      <c r="P13" s="14"/>
    </row>
    <row r="14" spans="1:16" ht="15.75" customHeight="1">
      <c r="B14" s="190" t="str">
        <f>IF('N-Bedarf H&amp;G'!B15="","",'N-Bedarf H&amp;G'!B15)</f>
        <v/>
      </c>
      <c r="C14" s="427" t="str">
        <f>IF(OR(B11="",B14=""),"",B14-G11)</f>
        <v/>
      </c>
      <c r="D14" s="427"/>
      <c r="E14" s="427"/>
      <c r="G14" s="432" t="str">
        <f>IF(B11="","",VLOOKUP(B11,'H&amp;G'!B:R,4,FALSE))</f>
        <v/>
      </c>
      <c r="H14" s="432"/>
      <c r="I14" s="432"/>
      <c r="J14" s="17" t="s">
        <v>820</v>
      </c>
      <c r="K14" s="40" t="str">
        <f>IF(OR(G11=0,B14="",B11=""),"0",(B14*K11/G11)-K11)</f>
        <v>0</v>
      </c>
      <c r="L14" s="44" t="s">
        <v>832</v>
      </c>
      <c r="M14" s="50"/>
      <c r="N14" s="14"/>
      <c r="O14" s="182"/>
      <c r="P14" s="182"/>
    </row>
    <row r="15" spans="1:16" s="32" customFormat="1" ht="18" customHeight="1">
      <c r="A15" s="117" t="s">
        <v>1086</v>
      </c>
      <c r="B15" s="402" t="s">
        <v>854</v>
      </c>
      <c r="C15" s="402"/>
      <c r="D15" s="402"/>
      <c r="E15" s="30" t="s">
        <v>843</v>
      </c>
      <c r="F15" s="178"/>
      <c r="G15" s="377" t="s">
        <v>874</v>
      </c>
      <c r="H15" s="377"/>
      <c r="I15" s="377"/>
      <c r="K15" s="64"/>
      <c r="L15" s="64"/>
      <c r="M15" s="50"/>
    </row>
    <row r="16" spans="1:16" ht="15.75" customHeight="1">
      <c r="B16" s="66"/>
      <c r="C16" s="177"/>
      <c r="D16" s="177"/>
      <c r="E16" s="66"/>
      <c r="F16" s="177"/>
      <c r="G16" s="78" t="str">
        <f>IF(OR(B16="",B16=0),"",VLOOKUP(B16,'Boden Bolap'!A:D,2))</f>
        <v/>
      </c>
      <c r="H16" s="177"/>
      <c r="I16" s="177"/>
      <c r="J16" s="17" t="s">
        <v>820</v>
      </c>
      <c r="K16" s="40" t="str">
        <f>IF(B16="","0",VLOOKUP(B16,'Boden Bolap'!A:D,3))</f>
        <v>0</v>
      </c>
      <c r="L16" s="44" t="s">
        <v>832</v>
      </c>
      <c r="M16" s="50"/>
    </row>
    <row r="17" spans="1:19" ht="15.75" customHeight="1">
      <c r="A17" s="177"/>
      <c r="B17" s="177"/>
      <c r="C17" s="177"/>
      <c r="D17" s="177"/>
      <c r="E17" s="177"/>
      <c r="F17" s="177"/>
      <c r="G17" s="177"/>
      <c r="H17" s="177"/>
      <c r="I17" s="177"/>
      <c r="J17" s="177"/>
      <c r="K17" s="65"/>
      <c r="L17" s="65"/>
      <c r="M17" s="50"/>
      <c r="O17" s="177"/>
    </row>
    <row r="18" spans="1:19" ht="27" customHeight="1">
      <c r="B18" s="392" t="s">
        <v>1614</v>
      </c>
      <c r="C18" s="393"/>
      <c r="D18" s="393"/>
      <c r="E18" s="393"/>
      <c r="F18" s="393"/>
      <c r="G18" s="393"/>
      <c r="H18" s="393"/>
      <c r="I18" s="393"/>
      <c r="J18" s="103" t="s">
        <v>1034</v>
      </c>
      <c r="K18" s="41" t="str">
        <f>IF(B16="","0",SUM(K11,K14,K16))</f>
        <v>0</v>
      </c>
      <c r="L18" s="214" t="s">
        <v>832</v>
      </c>
      <c r="M18" s="50"/>
    </row>
    <row r="19" spans="1:19" ht="42" customHeight="1">
      <c r="B19" s="429" t="s">
        <v>1077</v>
      </c>
      <c r="C19" s="429"/>
      <c r="D19" s="429"/>
      <c r="E19" s="429"/>
      <c r="F19" s="429"/>
      <c r="G19" s="429"/>
      <c r="H19" s="429"/>
      <c r="I19" s="429"/>
      <c r="J19" s="429"/>
      <c r="K19" s="429"/>
      <c r="L19" s="429"/>
      <c r="M19" s="50"/>
    </row>
    <row r="20" spans="1:19" ht="47.25" hidden="1" customHeight="1" thickBot="1">
      <c r="B20" s="388" t="s">
        <v>1283</v>
      </c>
      <c r="C20" s="389"/>
      <c r="D20" s="389"/>
      <c r="E20" s="389"/>
      <c r="F20" s="389"/>
      <c r="G20" s="389"/>
      <c r="H20" s="389"/>
      <c r="I20" s="390"/>
      <c r="J20" s="221" t="s">
        <v>820</v>
      </c>
      <c r="K20" s="219" t="str">
        <f>IF(OR(B16="",B16=0),K18,K18+I21)</f>
        <v>0</v>
      </c>
      <c r="L20" s="220" t="s">
        <v>832</v>
      </c>
      <c r="M20" s="50"/>
    </row>
    <row r="21" spans="1:19" ht="50.25" customHeight="1">
      <c r="I21" s="218" t="str">
        <f>IF(OR(B16="",B16=0),"",IF(B16&gt;13.8,VLOOKUP(B16,'Boden Bolap'!A1:D42,4)*(K11+K14)-(K11+K14),0))</f>
        <v/>
      </c>
      <c r="M21" s="50"/>
    </row>
    <row r="22" spans="1:19" ht="20.25">
      <c r="C22" s="387" t="s">
        <v>1022</v>
      </c>
      <c r="D22" s="387"/>
      <c r="E22" s="387"/>
      <c r="F22" s="387"/>
      <c r="G22" s="387"/>
      <c r="H22" s="387"/>
      <c r="I22" s="387"/>
      <c r="J22" s="387"/>
      <c r="K22" s="387"/>
      <c r="L22" s="387"/>
    </row>
    <row r="23" spans="1:19" ht="6.75" customHeight="1"/>
    <row r="24" spans="1:19" ht="23.25">
      <c r="G24" s="68"/>
      <c r="H24" s="385" t="s">
        <v>860</v>
      </c>
      <c r="I24" s="385"/>
      <c r="J24" s="76"/>
      <c r="K24" s="385" t="s">
        <v>840</v>
      </c>
      <c r="L24" s="385"/>
      <c r="P24" s="424" t="str">
        <f>IF(T4="","",T4)</f>
        <v/>
      </c>
      <c r="Q24" s="424"/>
      <c r="R24" s="424"/>
      <c r="S24" s="424"/>
    </row>
    <row r="25" spans="1:19">
      <c r="C25" s="362" t="s">
        <v>858</v>
      </c>
      <c r="D25" s="362"/>
      <c r="E25" s="362"/>
      <c r="F25" s="362"/>
      <c r="G25" s="18"/>
      <c r="H25" s="75"/>
      <c r="I25" s="67" t="s">
        <v>837</v>
      </c>
      <c r="J25" s="18"/>
      <c r="K25" s="75"/>
      <c r="L25" s="67" t="s">
        <v>837</v>
      </c>
    </row>
    <row r="26" spans="1:19" ht="6.75" customHeight="1">
      <c r="G26" s="18"/>
      <c r="H26" s="18"/>
      <c r="I26" s="18"/>
      <c r="J26" s="18"/>
      <c r="K26" s="18"/>
      <c r="L26" s="18"/>
    </row>
    <row r="27" spans="1:19">
      <c r="C27" s="362" t="s">
        <v>841</v>
      </c>
      <c r="D27" s="362"/>
      <c r="E27" s="362"/>
      <c r="F27" s="362"/>
      <c r="G27" s="18"/>
      <c r="H27" s="71" t="str">
        <f>IF(E16="","Bodenart?",IF(H25="","Gehalt?",IF(E16="leicht",VLOOKUP(H25,'Boden Bolap'!F:J,3),IF(E16="mittel",VLOOKUP(H25,'Boden Bolap'!K:O,3),IF(E16="schwer",VLOOKUP(H25,'Boden Bolap'!P:T,3))))))</f>
        <v>Bodenart?</v>
      </c>
      <c r="I27" s="71" t="s">
        <v>832</v>
      </c>
      <c r="J27" s="18"/>
      <c r="K27" s="71" t="str">
        <f>IF(E16="","Bodenart?",IF(K25="","Gehalt?",IF(E16="leicht",VLOOKUP(K25,'Boden Bolap'!U:Y,3),IF(E16="mittel",VLOOKUP(K25,'Boden Bolap'!Z:AD,3),IF(E16="schwer",VLOOKUP(K25,'Boden Bolap'!AE:AI,3))))))</f>
        <v>Bodenart?</v>
      </c>
      <c r="L27" s="71" t="s">
        <v>832</v>
      </c>
    </row>
    <row r="28" spans="1:19" ht="6.75" customHeight="1">
      <c r="G28" s="18"/>
      <c r="H28" s="18"/>
      <c r="I28" s="18"/>
      <c r="J28" s="18"/>
      <c r="K28" s="18"/>
      <c r="L28" s="18"/>
    </row>
    <row r="29" spans="1:19">
      <c r="C29" s="179" t="s">
        <v>855</v>
      </c>
      <c r="D29" s="425" t="str">
        <f>IF(G11="","",G11)</f>
        <v/>
      </c>
      <c r="E29" s="426"/>
      <c r="F29" s="426"/>
      <c r="G29" s="179"/>
      <c r="H29" s="72">
        <f>ROUND(IF(B11="","0",VLOOKUP(B11,'H&amp;G'!B:R,16,FALSE)*VLOOKUP(B11,'H&amp;G'!B:U,2,FALSE)),0)</f>
        <v>0</v>
      </c>
      <c r="I29" s="73" t="s">
        <v>832</v>
      </c>
      <c r="J29" s="74"/>
      <c r="K29" s="72">
        <f>ROUND(IF(B11="","0",VLOOKUP(B11,'H&amp;G'!B:R,17,FALSE)*VLOOKUP(B11,'H&amp;G'!B:U,2,FALSE)),0)</f>
        <v>0</v>
      </c>
      <c r="L29" s="73" t="s">
        <v>832</v>
      </c>
    </row>
    <row r="30" spans="1:19" ht="6.75" customHeight="1">
      <c r="G30" s="18"/>
      <c r="H30" s="18"/>
      <c r="I30" s="18"/>
      <c r="J30" s="18"/>
      <c r="K30" s="18"/>
      <c r="L30" s="18"/>
    </row>
    <row r="31" spans="1:19">
      <c r="C31" s="362" t="s">
        <v>1118</v>
      </c>
      <c r="D31" s="362"/>
      <c r="E31" s="362"/>
      <c r="F31" s="427" t="str">
        <f>IF(C14="","",C14)</f>
        <v/>
      </c>
      <c r="G31" s="428"/>
      <c r="H31" s="71">
        <f>ROUND(IF(OR(B11="",B14="",G11=0),"0",(B14*H29/G11)-H29),0)</f>
        <v>0</v>
      </c>
      <c r="I31" s="71" t="s">
        <v>832</v>
      </c>
      <c r="J31" s="18"/>
      <c r="K31" s="71">
        <f>ROUND(IF(OR(B14="",B11="",G11=0),"0",(B14*K29/G11)-K29),0)</f>
        <v>0</v>
      </c>
      <c r="L31" s="71" t="s">
        <v>832</v>
      </c>
    </row>
    <row r="32" spans="1:19" ht="6.75" customHeight="1">
      <c r="G32" s="18"/>
      <c r="H32" s="18"/>
      <c r="I32" s="18"/>
      <c r="J32" s="18"/>
      <c r="K32" s="18"/>
      <c r="L32" s="18"/>
    </row>
    <row r="33" spans="3:12">
      <c r="C33" s="362" t="s">
        <v>857</v>
      </c>
      <c r="D33" s="362"/>
      <c r="E33" s="362"/>
      <c r="G33" s="18"/>
      <c r="H33" s="71" t="str">
        <f>IF(OR(B11="",E16="",H25=""),"0",IF(AND(E16="leicht",H25&lt;14),VLOOKUP(H25,'Boden Bolap'!F:J,4),IF(AND(E16="leicht",H25&gt;13),VLOOKUP(H25,'Boden Bolap'!F:J,5)*H29-H29,IF(AND(E16="mittel",H25&lt;18),VLOOKUP(H25,'Boden Bolap'!K:O,4),IF(AND(E16="mittel",H25&gt;17),VLOOKUP(H25,'Boden Bolap'!K:O,5)*H29-H29,IF(AND(E16="schwer",H25&lt;22),VLOOKUP(H25,'Boden Bolap'!P:T,4),IF(AND(E16="schwer",H25&gt;21),VLOOKUP(H25,'Boden Bolap'!P:T,5)*H29-H29)))))))</f>
        <v>0</v>
      </c>
      <c r="I33" s="71" t="s">
        <v>832</v>
      </c>
      <c r="J33" s="18"/>
      <c r="K33" s="71" t="str">
        <f>IF(OR(B11="",E16="",K25=""),"0",IF(AND(E16="leicht",K25&lt;7),VLOOKUP(K25,'Boden Bolap'!U:Y,4),IF(AND(E16="leicht",K25&gt;6),VLOOKUP(K25,'Boden Bolap'!U:Y,5)*K29-K29,IF(AND(E16="mittel",K25&lt;11),VLOOKUP(K25,'Boden Bolap'!Z:AD,4),IF(AND(E16="mittel",K25&gt;10),VLOOKUP(K25,'Boden Bolap'!Z:AD,5)*K29-K29,IF(AND(E16="schwer",K25&lt;15),VLOOKUP(K25,'Boden Bolap'!AE:AI,4),IF(AND(E16="schwer",K25&gt;14),VLOOKUP(K25,'Boden Bolap'!AE:AI,5)*K29-K29)))))))</f>
        <v>0</v>
      </c>
      <c r="L33" s="71" t="s">
        <v>832</v>
      </c>
    </row>
    <row r="34" spans="3:12" ht="6.75" customHeight="1">
      <c r="G34" s="18"/>
      <c r="H34" s="69"/>
      <c r="I34" s="69"/>
      <c r="J34" s="18"/>
      <c r="K34" s="18"/>
      <c r="L34" s="18"/>
    </row>
    <row r="35" spans="3:12" ht="18.75">
      <c r="C35" s="423" t="s">
        <v>859</v>
      </c>
      <c r="D35" s="423"/>
      <c r="E35" s="423"/>
      <c r="F35" s="423"/>
      <c r="G35" s="18"/>
      <c r="H35" s="70" t="str">
        <f>IF(H25="","Gehalt?",IF(H27="Bodenart?","",IF(SUM(H29,H31,H33)&lt;0,"0",SUM(H29,H31,H33))))</f>
        <v>Gehalt?</v>
      </c>
      <c r="I35" s="70" t="s">
        <v>832</v>
      </c>
      <c r="J35" s="18"/>
      <c r="K35" s="70" t="str">
        <f>IF(K25="","Gehalt?",IF(K27="Bodenart?","",IF(SUM(K29,K31,K33)&lt;0,"0",SUM(K29,K31,K33))))</f>
        <v>Gehalt?</v>
      </c>
      <c r="L35" s="70" t="s">
        <v>832</v>
      </c>
    </row>
  </sheetData>
  <sheetProtection algorithmName="SHA-512" hashValue="b1aY7466nnoDn+uXWnoRI0FgLUHI8AamjHSsse4MebqzhEu6cZ5/nawMAJ5p8PQ1kU9kO0yip5M1dpSWF9Dv4g==" saltValue="JF2NCc8S5IhmaZ7n+qM2PA==" spinCount="100000" sheet="1" objects="1" scenarios="1" selectLockedCells="1"/>
  <mergeCells count="36">
    <mergeCell ref="A1:L1"/>
    <mergeCell ref="A3:H3"/>
    <mergeCell ref="A4:G4"/>
    <mergeCell ref="J5:K5"/>
    <mergeCell ref="A6:C6"/>
    <mergeCell ref="G6:I6"/>
    <mergeCell ref="K6:L6"/>
    <mergeCell ref="A5:G5"/>
    <mergeCell ref="B15:D15"/>
    <mergeCell ref="G15:I15"/>
    <mergeCell ref="A7:C7"/>
    <mergeCell ref="G7:I7"/>
    <mergeCell ref="K7:L7"/>
    <mergeCell ref="A9:L9"/>
    <mergeCell ref="B10:E10"/>
    <mergeCell ref="G10:L10"/>
    <mergeCell ref="B11:E11"/>
    <mergeCell ref="G11:I11"/>
    <mergeCell ref="A12:D12"/>
    <mergeCell ref="B13:I13"/>
    <mergeCell ref="C14:E14"/>
    <mergeCell ref="G14:I14"/>
    <mergeCell ref="B18:I18"/>
    <mergeCell ref="B19:L19"/>
    <mergeCell ref="B20:I20"/>
    <mergeCell ref="C22:L22"/>
    <mergeCell ref="H24:I24"/>
    <mergeCell ref="K24:L24"/>
    <mergeCell ref="C35:F35"/>
    <mergeCell ref="P24:S24"/>
    <mergeCell ref="C25:F25"/>
    <mergeCell ref="C27:F27"/>
    <mergeCell ref="D29:F29"/>
    <mergeCell ref="C31:E31"/>
    <mergeCell ref="C33:E33"/>
    <mergeCell ref="F31:G31"/>
  </mergeCells>
  <conditionalFormatting sqref="K11:L11">
    <cfRule type="cellIs" dxfId="227" priority="28" operator="lessThan">
      <formula>0</formula>
    </cfRule>
  </conditionalFormatting>
  <conditionalFormatting sqref="M11:M18 M21">
    <cfRule type="cellIs" dxfId="226" priority="27" operator="lessThan">
      <formula>0</formula>
    </cfRule>
  </conditionalFormatting>
  <conditionalFormatting sqref="M10">
    <cfRule type="cellIs" dxfId="225" priority="26" operator="lessThan">
      <formula>0</formula>
    </cfRule>
  </conditionalFormatting>
  <conditionalFormatting sqref="K13:L13 K14">
    <cfRule type="cellIs" dxfId="224" priority="25" operator="lessThan">
      <formula>0</formula>
    </cfRule>
  </conditionalFormatting>
  <conditionalFormatting sqref="K16">
    <cfRule type="cellIs" dxfId="223" priority="23" operator="lessThan">
      <formula>0</formula>
    </cfRule>
  </conditionalFormatting>
  <conditionalFormatting sqref="L14">
    <cfRule type="cellIs" dxfId="222" priority="22" operator="lessThan">
      <formula>0</formula>
    </cfRule>
  </conditionalFormatting>
  <conditionalFormatting sqref="L16">
    <cfRule type="cellIs" dxfId="221" priority="21" operator="lessThan">
      <formula>0</formula>
    </cfRule>
  </conditionalFormatting>
  <conditionalFormatting sqref="I27">
    <cfRule type="cellIs" dxfId="220" priority="19" operator="lessThan">
      <formula>0</formula>
    </cfRule>
  </conditionalFormatting>
  <conditionalFormatting sqref="K27">
    <cfRule type="cellIs" dxfId="219" priority="18" operator="lessThan">
      <formula>0</formula>
    </cfRule>
  </conditionalFormatting>
  <conditionalFormatting sqref="K29">
    <cfRule type="cellIs" dxfId="218" priority="17" operator="lessThan">
      <formula>0</formula>
    </cfRule>
  </conditionalFormatting>
  <conditionalFormatting sqref="I29">
    <cfRule type="cellIs" dxfId="217" priority="16" operator="lessThan">
      <formula>0</formula>
    </cfRule>
  </conditionalFormatting>
  <conditionalFormatting sqref="I31">
    <cfRule type="cellIs" dxfId="216" priority="15" operator="lessThan">
      <formula>0</formula>
    </cfRule>
  </conditionalFormatting>
  <conditionalFormatting sqref="K31">
    <cfRule type="cellIs" dxfId="215" priority="14" operator="lessThan">
      <formula>0</formula>
    </cfRule>
  </conditionalFormatting>
  <conditionalFormatting sqref="I35">
    <cfRule type="cellIs" dxfId="214" priority="13" operator="lessThan">
      <formula>0</formula>
    </cfRule>
  </conditionalFormatting>
  <conditionalFormatting sqref="I33">
    <cfRule type="cellIs" dxfId="213" priority="12" operator="lessThan">
      <formula>0</formula>
    </cfRule>
  </conditionalFormatting>
  <conditionalFormatting sqref="K33">
    <cfRule type="cellIs" dxfId="212" priority="11" operator="lessThan">
      <formula>0</formula>
    </cfRule>
  </conditionalFormatting>
  <conditionalFormatting sqref="H35">
    <cfRule type="cellIs" dxfId="211" priority="7" operator="lessThan">
      <formula>0</formula>
    </cfRule>
  </conditionalFormatting>
  <conditionalFormatting sqref="H31">
    <cfRule type="cellIs" dxfId="210" priority="8" operator="lessThan">
      <formula>0</formula>
    </cfRule>
  </conditionalFormatting>
  <conditionalFormatting sqref="H33">
    <cfRule type="cellIs" dxfId="209" priority="6" operator="lessThan">
      <formula>0</formula>
    </cfRule>
  </conditionalFormatting>
  <conditionalFormatting sqref="H27">
    <cfRule type="cellIs" dxfId="208" priority="10" operator="lessThan">
      <formula>0</formula>
    </cfRule>
  </conditionalFormatting>
  <conditionalFormatting sqref="H29">
    <cfRule type="cellIs" dxfId="207" priority="9" operator="lessThan">
      <formula>0</formula>
    </cfRule>
  </conditionalFormatting>
  <conditionalFormatting sqref="M19:M20">
    <cfRule type="cellIs" dxfId="206" priority="5" operator="lessThan">
      <formula>0</formula>
    </cfRule>
  </conditionalFormatting>
  <conditionalFormatting sqref="K35">
    <cfRule type="cellIs" dxfId="205" priority="4" operator="lessThan">
      <formula>0</formula>
    </cfRule>
  </conditionalFormatting>
  <conditionalFormatting sqref="K18">
    <cfRule type="cellIs" dxfId="204" priority="3" operator="lessThan">
      <formula>0</formula>
    </cfRule>
  </conditionalFormatting>
  <conditionalFormatting sqref="L18">
    <cfRule type="cellIs" dxfId="203" priority="2" operator="lessThan">
      <formula>0</formula>
    </cfRule>
  </conditionalFormatting>
  <conditionalFormatting sqref="K20">
    <cfRule type="cellIs" dxfId="202" priority="1" operator="lessThan">
      <formula>0</formula>
    </cfRule>
  </conditionalFormatting>
  <dataValidations count="4">
    <dataValidation allowBlank="1" showInputMessage="1" showErrorMessage="1" errorTitle="Datum" error="Sie haben kein Datum eingegeben!" prompt="TT.MM.JJ" sqref="E7"/>
    <dataValidation allowBlank="1" showInputMessage="1" showErrorMessage="1" error="Kultur aus der Dropdown-Liste auswählen. Für fehelnde Kulturen sind derzeit keine N-Bedarfsermittlungen möglich." sqref="A12"/>
    <dataValidation type="whole" allowBlank="1" showInputMessage="1" showErrorMessage="1" sqref="B16">
      <formula1>0</formula1>
      <formula2>100</formula2>
    </dataValidation>
    <dataValidation allowBlank="1" showInputMessage="1" showErrorMessage="1" error="Kultur aus der Dropdown-Liste auswählen. Für fehelnde Kulturen sind derzeit keine N-Bedarfsermittlungen möglich." sqref="B11:E11"/>
  </dataValidations>
  <pageMargins left="0.78740157480314965" right="0.39370078740157483" top="0.78740157480314965" bottom="0.19685039370078741" header="0.31496062992125984" footer="0.31496062992125984"/>
  <pageSetup paperSize="9" orientation="portrait" r:id="rId1"/>
  <headerFooter>
    <oddHeader xml:space="preserve">&amp;L&amp;8Dienstleistungszentrum Ländlicher Raum (DLR) - Rheinpfalz, Breitenweg 71, 67435 Neustadt/Weinstraße
Alle Angaben ohne Gewähr. </oddHeader>
  </headerFooter>
  <ignoredErrors>
    <ignoredError sqref="B14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'Boden Bolap'!$AK$3:$AK$5</xm:f>
          </x14:formula1>
          <xm:sqref>E16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P52"/>
  <sheetViews>
    <sheetView showGridLines="0" zoomScaleNormal="100" zoomScaleSheetLayoutView="130" workbookViewId="0">
      <selection activeCell="B13" sqref="B13:E13"/>
    </sheetView>
  </sheetViews>
  <sheetFormatPr baseColWidth="10" defaultRowHeight="15.75"/>
  <cols>
    <col min="1" max="1" width="2.85546875" style="13" customWidth="1"/>
    <col min="2" max="2" width="10.28515625" style="13" customWidth="1"/>
    <col min="3" max="3" width="11.5703125" style="13" customWidth="1"/>
    <col min="4" max="4" width="2.85546875" style="13" customWidth="1"/>
    <col min="5" max="5" width="12.85546875" style="13" customWidth="1"/>
    <col min="6" max="6" width="4" style="13" customWidth="1"/>
    <col min="7" max="7" width="23.5703125" style="13" customWidth="1"/>
    <col min="8" max="8" width="6.5703125" style="14" customWidth="1"/>
    <col min="9" max="9" width="7.85546875" style="13" customWidth="1"/>
    <col min="10" max="10" width="7.140625" style="13" customWidth="1"/>
    <col min="11" max="11" width="2.42578125" style="13" customWidth="1"/>
    <col min="12" max="14" width="8.7109375" style="13" customWidth="1"/>
    <col min="15" max="16384" width="11.42578125" style="13"/>
  </cols>
  <sheetData>
    <row r="1" spans="1:14" ht="31.5">
      <c r="A1" s="364" t="s">
        <v>1286</v>
      </c>
      <c r="B1" s="364"/>
      <c r="C1" s="364"/>
      <c r="D1" s="364"/>
      <c r="E1" s="364"/>
      <c r="F1" s="364"/>
      <c r="G1" s="364"/>
      <c r="H1" s="364"/>
      <c r="I1" s="364"/>
      <c r="J1" s="364"/>
    </row>
    <row r="2" spans="1:14" ht="4.5" customHeight="1"/>
    <row r="3" spans="1:14" ht="13.5" customHeight="1">
      <c r="A3" s="369" t="str">
        <f>'N-Bedarf Gemüse Erdbeere'!A3:G3</f>
        <v>Version für Excel 2010 und höher, DLR Rheinpfalz Mahler/Ziegler</v>
      </c>
      <c r="B3" s="369"/>
      <c r="C3" s="369"/>
      <c r="D3" s="369"/>
      <c r="E3" s="369"/>
      <c r="F3" s="369"/>
      <c r="G3" s="369"/>
      <c r="H3" s="160" t="str">
        <f>'N-Bedarf Gemüse Erdbeere'!H3</f>
        <v>Stand:</v>
      </c>
      <c r="I3" s="159">
        <f>'N-Bedarf Gemüse Erdbeere'!I3</f>
        <v>45335</v>
      </c>
    </row>
    <row r="4" spans="1:14" ht="9.75" customHeight="1">
      <c r="A4" s="366" t="str">
        <f>'N-Bedarf Gemüse Erdbeere'!A4:G4</f>
        <v>Quellen: DüV 2017/Änd. 2020, N-Expertdaten IGZ Großbeeren</v>
      </c>
      <c r="B4" s="366"/>
      <c r="C4" s="366"/>
      <c r="D4" s="366"/>
      <c r="E4" s="366"/>
      <c r="F4" s="366"/>
      <c r="G4" s="366"/>
      <c r="H4" s="35"/>
      <c r="I4" s="36"/>
      <c r="J4" s="36"/>
    </row>
    <row r="5" spans="1:14" ht="14.25" customHeight="1">
      <c r="H5" s="367"/>
      <c r="I5" s="367"/>
      <c r="J5" s="123"/>
    </row>
    <row r="6" spans="1:14" ht="15.75" customHeight="1">
      <c r="A6" s="365" t="s">
        <v>7</v>
      </c>
      <c r="B6" s="398"/>
      <c r="C6" s="398"/>
      <c r="D6" s="9"/>
      <c r="E6" s="30" t="s">
        <v>821</v>
      </c>
      <c r="F6" s="121"/>
      <c r="G6" s="121" t="s">
        <v>834</v>
      </c>
      <c r="H6" s="121"/>
      <c r="I6" s="365" t="s">
        <v>825</v>
      </c>
      <c r="J6" s="365"/>
    </row>
    <row r="7" spans="1:14" ht="15.75" customHeight="1">
      <c r="A7" s="373"/>
      <c r="B7" s="373"/>
      <c r="C7" s="373"/>
      <c r="E7" s="48"/>
      <c r="G7" s="120"/>
      <c r="H7" s="45"/>
      <c r="I7" s="372"/>
      <c r="J7" s="434"/>
    </row>
    <row r="8" spans="1:14" ht="7.5" customHeight="1">
      <c r="A8" s="10"/>
      <c r="B8" s="10"/>
      <c r="C8" s="10"/>
      <c r="D8" s="10"/>
      <c r="E8" s="10"/>
      <c r="F8" s="10"/>
      <c r="G8" s="10"/>
      <c r="I8" s="16"/>
      <c r="J8" s="16"/>
    </row>
    <row r="9" spans="1:14" ht="9" customHeight="1">
      <c r="A9" s="371" t="s">
        <v>1033</v>
      </c>
      <c r="B9" s="371"/>
      <c r="C9" s="371"/>
      <c r="D9" s="371"/>
      <c r="E9" s="371"/>
      <c r="F9" s="371"/>
      <c r="G9" s="371"/>
      <c r="H9" s="371"/>
      <c r="I9" s="371"/>
      <c r="J9" s="371"/>
    </row>
    <row r="10" spans="1:14" ht="9" customHeight="1">
      <c r="A10" s="371" t="s">
        <v>1101</v>
      </c>
      <c r="B10" s="371"/>
      <c r="C10" s="371"/>
      <c r="D10" s="371"/>
      <c r="E10" s="371"/>
      <c r="F10" s="371"/>
      <c r="G10" s="371"/>
      <c r="H10" s="371"/>
      <c r="I10" s="371"/>
      <c r="J10" s="371"/>
    </row>
    <row r="11" spans="1:14" ht="9" customHeight="1">
      <c r="A11" s="371" t="s">
        <v>1100</v>
      </c>
      <c r="B11" s="371"/>
      <c r="C11" s="371"/>
      <c r="D11" s="371"/>
      <c r="E11" s="371"/>
      <c r="F11" s="371"/>
      <c r="G11" s="371"/>
      <c r="H11" s="371"/>
      <c r="I11" s="371"/>
      <c r="J11" s="371"/>
    </row>
    <row r="12" spans="1:14" s="32" customFormat="1" ht="23.25" customHeight="1">
      <c r="A12" s="117" t="s">
        <v>1084</v>
      </c>
      <c r="B12" s="349" t="s">
        <v>1289</v>
      </c>
      <c r="C12" s="349"/>
      <c r="D12" s="349"/>
      <c r="E12" s="349"/>
      <c r="F12" s="31"/>
      <c r="G12" s="370"/>
      <c r="H12" s="370"/>
      <c r="I12" s="370"/>
      <c r="J12" s="370"/>
      <c r="K12" s="33"/>
      <c r="L12" s="13"/>
    </row>
    <row r="13" spans="1:14" s="11" customFormat="1" ht="23.25">
      <c r="B13" s="378"/>
      <c r="C13" s="378"/>
      <c r="D13" s="378"/>
      <c r="E13" s="378"/>
      <c r="F13" s="46"/>
      <c r="G13" s="52" t="str">
        <f>IF(B13="","",VLOOKUP(B13,'Tab 2+3 DüV_A'!A:H,4,FALSE))</f>
        <v/>
      </c>
      <c r="H13" s="17" t="s">
        <v>820</v>
      </c>
      <c r="I13" s="39" t="str">
        <f>IF(B13="","0",VLOOKUP(B13,'Tab 2+3 DüV_A'!A:C,3,FALSE))</f>
        <v>0</v>
      </c>
      <c r="J13" s="44" t="s">
        <v>832</v>
      </c>
      <c r="K13" s="50"/>
      <c r="L13" s="13"/>
    </row>
    <row r="14" spans="1:14" ht="15.75" customHeight="1">
      <c r="A14" s="30" t="s">
        <v>1085</v>
      </c>
      <c r="B14" s="357" t="s">
        <v>1594</v>
      </c>
      <c r="C14" s="357"/>
      <c r="D14" s="357"/>
      <c r="E14" s="357"/>
      <c r="F14" s="118"/>
      <c r="G14" s="126" t="s">
        <v>835</v>
      </c>
      <c r="H14" s="415" t="str">
        <f>IF(I15&gt;40,"Genehmigung bei &gt;40 kg N/ha!","")</f>
        <v/>
      </c>
      <c r="I14" s="415"/>
      <c r="J14" s="415"/>
      <c r="K14" s="51"/>
      <c r="L14" s="13" t="s">
        <v>871</v>
      </c>
      <c r="M14" s="13" t="s">
        <v>872</v>
      </c>
      <c r="N14" s="13" t="s">
        <v>873</v>
      </c>
    </row>
    <row r="15" spans="1:14" ht="15.75" customHeight="1">
      <c r="B15" s="120"/>
      <c r="C15" s="77" t="str">
        <f>IF(OR(B15="",B13=""),"",B15-G15)</f>
        <v/>
      </c>
      <c r="D15" s="438" t="str">
        <f>IF(B15="","",IF(L15&lt;1,"Kulturbedingt kein Zu-/Abschlag!",""))</f>
        <v/>
      </c>
      <c r="E15" s="438"/>
      <c r="F15" s="438"/>
      <c r="G15" s="47" t="str">
        <f>IF(B13="","",VLOOKUP(B13,'Tab 2+3 DüV_A'!A:B,2,FALSE))</f>
        <v/>
      </c>
      <c r="H15" s="17" t="s">
        <v>820</v>
      </c>
      <c r="I15" s="40">
        <f>IF(OR(L15="",L15=0,B15="",I13=0),0,IF(C15&gt;0,C15*M15/L15,N15*C15/L15))</f>
        <v>0</v>
      </c>
      <c r="J15" s="40" t="s">
        <v>832</v>
      </c>
      <c r="K15" s="49"/>
      <c r="L15" s="102" t="str">
        <f>IF(B13="","",VLOOKUP(B13,'Tab 2+3 DüV_A'!A:H,6,FALSE))</f>
        <v/>
      </c>
      <c r="M15" s="102" t="str">
        <f>IF(B13="","",VLOOKUP(B13,'Tab 2+3 DüV_A'!A:H,7,FALSE))</f>
        <v/>
      </c>
      <c r="N15" s="102" t="str">
        <f>IF(B13="","",VLOOKUP(B13,'Tab 2+3 DüV_A'!A:H,8,FALSE))</f>
        <v/>
      </c>
    </row>
    <row r="16" spans="1:14" ht="15.75" hidden="1" customHeight="1">
      <c r="A16" s="357" t="s">
        <v>826</v>
      </c>
      <c r="B16" s="357"/>
      <c r="C16" s="357"/>
      <c r="D16" s="357"/>
      <c r="E16" s="357"/>
      <c r="F16" s="357"/>
      <c r="G16" s="357"/>
      <c r="H16" s="15"/>
      <c r="I16" s="18"/>
      <c r="J16" s="18"/>
    </row>
    <row r="17" spans="1:16" ht="15.75" hidden="1" customHeight="1">
      <c r="B17" s="139"/>
      <c r="C17" s="375" t="str">
        <f>IF(B17="","", IF(B17="ja",",dann N-Zuschlag",",dann kein N-Zuschlag"))</f>
        <v/>
      </c>
      <c r="D17" s="375"/>
      <c r="E17" s="375"/>
      <c r="F17" s="375"/>
      <c r="G17" s="375"/>
      <c r="H17" s="17" t="s">
        <v>820</v>
      </c>
      <c r="I17" s="40" t="str">
        <f>IF(OR(B17="",B17="nein"),"0",VLOOKUP(B17,'Verfrühung, Vorkultur'!A2:B4,2))</f>
        <v>0</v>
      </c>
      <c r="J17" s="40" t="s">
        <v>832</v>
      </c>
    </row>
    <row r="18" spans="1:16" s="32" customFormat="1" ht="27" customHeight="1">
      <c r="A18" s="381" t="s">
        <v>831</v>
      </c>
      <c r="B18" s="381"/>
      <c r="C18" s="381"/>
      <c r="D18" s="381"/>
      <c r="E18" s="381"/>
      <c r="F18" s="381"/>
      <c r="G18" s="381"/>
      <c r="H18" s="34"/>
      <c r="I18" s="34"/>
      <c r="J18" s="34"/>
    </row>
    <row r="19" spans="1:16" ht="18.75" customHeight="1">
      <c r="A19" s="30" t="s">
        <v>1086</v>
      </c>
      <c r="B19" s="383" t="s">
        <v>1093</v>
      </c>
      <c r="C19" s="383"/>
      <c r="D19" s="383"/>
      <c r="E19" s="156" t="str">
        <f>IF(B13="","",VLOOKUP(B13,'Tab 2+3 DüV_A'!A:E,5))</f>
        <v/>
      </c>
      <c r="G19" s="157"/>
      <c r="H19" s="15"/>
      <c r="I19" s="18"/>
      <c r="J19" s="18"/>
      <c r="P19" s="13" t="s">
        <v>819</v>
      </c>
    </row>
    <row r="20" spans="1:16" ht="15.75" customHeight="1">
      <c r="B20" s="125"/>
      <c r="C20" s="375"/>
      <c r="D20" s="375"/>
      <c r="E20" s="375"/>
      <c r="F20" s="375"/>
      <c r="G20" s="375"/>
      <c r="H20" s="17" t="s">
        <v>820</v>
      </c>
      <c r="I20" s="40" t="str">
        <f>IF(B20="","0",-B20)</f>
        <v>0</v>
      </c>
      <c r="J20" s="40" t="s">
        <v>832</v>
      </c>
    </row>
    <row r="21" spans="1:16" s="32" customFormat="1" ht="18" customHeight="1">
      <c r="A21" s="117" t="s">
        <v>1087</v>
      </c>
      <c r="B21" s="377" t="s">
        <v>1091</v>
      </c>
      <c r="C21" s="377"/>
      <c r="D21" s="377"/>
      <c r="E21" s="377"/>
      <c r="F21" s="377"/>
      <c r="G21" s="377"/>
      <c r="M21" s="32" t="s">
        <v>819</v>
      </c>
    </row>
    <row r="22" spans="1:16" ht="15.75" customHeight="1">
      <c r="B22" s="125"/>
      <c r="C22" s="375" t="str">
        <f>IF(B22="ja",",dann N-Nachlieferung aus Bodenvorrat",IF(B22="nein",",dann keine N-Nachlieferung aus Bodenvorrat",""))</f>
        <v/>
      </c>
      <c r="D22" s="375"/>
      <c r="E22" s="375"/>
      <c r="F22" s="375"/>
      <c r="G22" s="375"/>
      <c r="H22" s="17" t="s">
        <v>820</v>
      </c>
      <c r="I22" s="40" t="str">
        <f>IF(B22="ja",-20,"0")</f>
        <v>0</v>
      </c>
      <c r="J22" s="40" t="s">
        <v>832</v>
      </c>
    </row>
    <row r="23" spans="1:16" ht="15.75" customHeight="1">
      <c r="A23" s="30" t="s">
        <v>1088</v>
      </c>
      <c r="B23" s="357" t="s">
        <v>1162</v>
      </c>
      <c r="C23" s="357"/>
      <c r="D23" s="357"/>
      <c r="E23" s="357"/>
      <c r="F23" s="357"/>
      <c r="G23" s="357"/>
      <c r="H23" s="15"/>
      <c r="I23" s="18"/>
      <c r="J23" s="18"/>
    </row>
    <row r="24" spans="1:16" ht="15.75" customHeight="1">
      <c r="B24" s="358"/>
      <c r="C24" s="358"/>
      <c r="D24" s="358"/>
      <c r="E24" s="358"/>
      <c r="F24" s="358"/>
      <c r="G24" s="358"/>
      <c r="H24" s="17" t="s">
        <v>820</v>
      </c>
      <c r="I24" s="113" t="str">
        <f>IF(B24="","0",-VLOOKUP(B24,'Tab 7 DüV_A-VF'!A:B,2))</f>
        <v>0</v>
      </c>
      <c r="J24" s="40" t="s">
        <v>832</v>
      </c>
    </row>
    <row r="25" spans="1:16" ht="15.75" customHeight="1">
      <c r="A25" s="30" t="s">
        <v>1089</v>
      </c>
      <c r="B25" s="436" t="s">
        <v>1163</v>
      </c>
      <c r="C25" s="437"/>
      <c r="D25" s="437"/>
      <c r="E25" s="437"/>
      <c r="F25" s="437"/>
      <c r="G25" s="437"/>
      <c r="H25" s="17"/>
      <c r="I25" s="17"/>
      <c r="J25" s="17"/>
    </row>
    <row r="26" spans="1:16" ht="15.75" customHeight="1">
      <c r="B26" s="358"/>
      <c r="C26" s="435"/>
      <c r="D26" s="435"/>
      <c r="E26" s="435"/>
      <c r="F26" s="435"/>
      <c r="G26" s="435"/>
      <c r="H26" s="17" t="s">
        <v>820</v>
      </c>
      <c r="I26" s="113" t="str">
        <f>IF(B26="","0",-VLOOKUP(B26,'Tab 7 DüV_A-ZF'!A:B,2))</f>
        <v>0</v>
      </c>
      <c r="J26" s="40" t="s">
        <v>832</v>
      </c>
    </row>
    <row r="27" spans="1:16" ht="15.75" customHeight="1">
      <c r="A27" s="30" t="s">
        <v>1090</v>
      </c>
      <c r="B27" s="357" t="s">
        <v>836</v>
      </c>
      <c r="C27" s="357"/>
      <c r="D27" s="357"/>
      <c r="E27" s="357"/>
      <c r="F27" s="357"/>
      <c r="G27" s="357"/>
      <c r="H27" s="15"/>
      <c r="I27" s="18"/>
      <c r="J27" s="18"/>
      <c r="K27" s="19"/>
    </row>
    <row r="28" spans="1:16" ht="15.75" customHeight="1" thickBot="1">
      <c r="A28" s="56">
        <v>1</v>
      </c>
      <c r="B28" s="376"/>
      <c r="C28" s="376"/>
      <c r="D28" s="376"/>
      <c r="E28" s="376"/>
      <c r="F28" s="376"/>
      <c r="G28" s="376"/>
      <c r="H28" s="15"/>
      <c r="I28" s="20"/>
      <c r="J28" s="20"/>
      <c r="K28" s="19"/>
    </row>
    <row r="29" spans="1:16" ht="15.75" customHeight="1" thickBot="1">
      <c r="A29" s="56">
        <v>2</v>
      </c>
      <c r="B29" s="376"/>
      <c r="C29" s="376"/>
      <c r="D29" s="376"/>
      <c r="E29" s="376"/>
      <c r="F29" s="376"/>
      <c r="G29" s="376"/>
      <c r="H29" s="15"/>
      <c r="I29" s="20"/>
      <c r="J29" s="20"/>
      <c r="K29" s="19"/>
    </row>
    <row r="30" spans="1:16" ht="15.75" customHeight="1" thickBot="1">
      <c r="A30" s="56">
        <v>3</v>
      </c>
      <c r="B30" s="376"/>
      <c r="C30" s="376"/>
      <c r="D30" s="376"/>
      <c r="E30" s="376"/>
      <c r="F30" s="376"/>
      <c r="G30" s="376"/>
      <c r="H30" s="15"/>
      <c r="I30" s="20"/>
      <c r="J30" s="20"/>
      <c r="K30" s="19"/>
    </row>
    <row r="31" spans="1:16" ht="15.75" customHeight="1" thickBot="1">
      <c r="A31" s="56">
        <v>4</v>
      </c>
      <c r="B31" s="376"/>
      <c r="C31" s="376"/>
      <c r="D31" s="376"/>
      <c r="E31" s="376"/>
      <c r="F31" s="376"/>
      <c r="G31" s="376"/>
      <c r="H31" s="15"/>
      <c r="I31" s="20"/>
      <c r="J31" s="20"/>
      <c r="K31" s="19"/>
    </row>
    <row r="32" spans="1:16" ht="15.75" customHeight="1">
      <c r="B32" s="357" t="s">
        <v>824</v>
      </c>
      <c r="C32" s="357"/>
      <c r="D32" s="357"/>
      <c r="E32" s="357"/>
      <c r="F32" s="357"/>
      <c r="G32" s="357"/>
      <c r="H32" s="129"/>
      <c r="I32" s="21"/>
      <c r="J32" s="21"/>
    </row>
    <row r="33" spans="1:11" ht="15.75" customHeight="1" thickBot="1">
      <c r="A33" s="56">
        <v>1</v>
      </c>
      <c r="B33" s="183"/>
      <c r="C33" s="131" t="str">
        <f>IF(OR(B28="_keine",B28=""),"",VLOOKUP(B28,'Tab org. D_N-expert'!B:C,2,FALSE))</f>
        <v/>
      </c>
      <c r="D33" s="407" t="str">
        <f>IF(OR(B28="_keine",B28=""),"",VLOOKUP(B28,'Tab org. D_N-expert'!B:F,3,FALSE))</f>
        <v/>
      </c>
      <c r="E33" s="354"/>
      <c r="F33" s="354"/>
      <c r="G33" s="57" t="str">
        <f>IF(OR(B28="_keine",B28=""),"",IF(C33="t/ha","kg/t Frischmasse",IF(C33="m³/ha","kg/m³ Frischmasse")))</f>
        <v/>
      </c>
      <c r="H33" s="17" t="s">
        <v>820</v>
      </c>
      <c r="I33" s="40" t="str">
        <f>IF(OR(B28="",B28="_keine"),"0",-(B33*D33/10))</f>
        <v>0</v>
      </c>
      <c r="J33" s="40" t="s">
        <v>832</v>
      </c>
    </row>
    <row r="34" spans="1:11" ht="15.75" customHeight="1" thickBot="1">
      <c r="A34" s="56">
        <v>2</v>
      </c>
      <c r="B34" s="183"/>
      <c r="C34" s="131" t="str">
        <f>IF(OR(B29="_keine",B29=""),"",VLOOKUP(B29,'Tab org. D_N-expert'!B:C,2,FALSE))</f>
        <v/>
      </c>
      <c r="D34" s="408" t="str">
        <f>IF(OR(B29="_keine",B29=""),"",VLOOKUP(B29,'Tab org. D_N-expert'!B:F,3,FALSE))</f>
        <v/>
      </c>
      <c r="E34" s="361"/>
      <c r="F34" s="361"/>
      <c r="G34" s="58" t="str">
        <f>IF(OR(B29="_keine",B29=""),"",IF(C34="t/ha","kg/t Frischmasse",IF(C34="m³/ha","kg/m³ Frischmasse")))</f>
        <v/>
      </c>
      <c r="H34" s="17" t="s">
        <v>820</v>
      </c>
      <c r="I34" s="40" t="str">
        <f>IF(OR(B29="",B29="_keine"),"0",-(B34*D34/10))</f>
        <v>0</v>
      </c>
      <c r="J34" s="40" t="s">
        <v>832</v>
      </c>
    </row>
    <row r="35" spans="1:11" ht="15.75" customHeight="1" thickBot="1">
      <c r="A35" s="56">
        <v>3</v>
      </c>
      <c r="B35" s="183"/>
      <c r="C35" s="131" t="str">
        <f>IF(OR(B30="_keine",B30=""),"",VLOOKUP(B30,'Tab org. D_N-expert'!B:C,2,FALSE))</f>
        <v/>
      </c>
      <c r="D35" s="408" t="str">
        <f>IF(OR(B30="_keine",B30=""),"",VLOOKUP(B30,'Tab org. D_N-expert'!B:F,3,FALSE))</f>
        <v/>
      </c>
      <c r="E35" s="361"/>
      <c r="F35" s="361"/>
      <c r="G35" s="58" t="str">
        <f>IF(OR(B30="_keine",B30=""),"",IF(C35="t/ha","kg/t Frischmasse",IF(C35="m³/ha","kg/m³ Frischmasse")))</f>
        <v/>
      </c>
      <c r="H35" s="17" t="s">
        <v>820</v>
      </c>
      <c r="I35" s="40" t="str">
        <f>IF(OR(B30="",B30="_keine"),"0",-(B35*D35/10))</f>
        <v>0</v>
      </c>
      <c r="J35" s="40" t="s">
        <v>832</v>
      </c>
    </row>
    <row r="36" spans="1:11" ht="15.75" customHeight="1" thickBot="1">
      <c r="A36" s="56">
        <v>4</v>
      </c>
      <c r="B36" s="183"/>
      <c r="C36" s="131" t="str">
        <f>IF(OR(B31="_keine",B31=""),"",VLOOKUP(B31,'Tab org. D_N-expert'!B:C,2,FALSE))</f>
        <v/>
      </c>
      <c r="D36" s="409" t="str">
        <f>IF(OR(B31="_keine",B31=""),"",VLOOKUP(B31,'Tab org. D_N-expert'!B:F,3,FALSE))</f>
        <v/>
      </c>
      <c r="E36" s="380"/>
      <c r="F36" s="380"/>
      <c r="G36" s="59" t="str">
        <f>IF(OR(B31="_keine",B31=""),"",IF(C36="t/ha","kg/t Frischmasse",IF(C36="m³/ha","kg/m³ Frischmasse")))</f>
        <v/>
      </c>
      <c r="H36" s="17" t="s">
        <v>820</v>
      </c>
      <c r="I36" s="40" t="str">
        <f>IF(OR(B31="",B31="_keine"),"0",-(B36*D36/10))</f>
        <v>0</v>
      </c>
      <c r="J36" s="40" t="s">
        <v>832</v>
      </c>
    </row>
    <row r="37" spans="1:11" ht="15.75" customHeight="1">
      <c r="A37" s="30" t="s">
        <v>1081</v>
      </c>
      <c r="B37" s="357" t="s">
        <v>827</v>
      </c>
      <c r="C37" s="357"/>
      <c r="D37" s="357"/>
      <c r="E37" s="357"/>
      <c r="F37" s="357"/>
      <c r="G37" s="357"/>
      <c r="H37" s="15"/>
      <c r="I37" s="18"/>
      <c r="J37" s="18"/>
      <c r="K37" s="19"/>
    </row>
    <row r="38" spans="1:11" ht="15.75" customHeight="1">
      <c r="B38" s="358"/>
      <c r="C38" s="433"/>
      <c r="D38" s="433"/>
      <c r="E38" s="433"/>
      <c r="F38" s="433"/>
      <c r="G38" s="433"/>
      <c r="H38" s="15"/>
      <c r="I38" s="18"/>
      <c r="J38" s="18"/>
      <c r="K38" s="19"/>
    </row>
    <row r="39" spans="1:11" ht="15.75" customHeight="1">
      <c r="A39" s="12"/>
      <c r="B39" s="357" t="s">
        <v>824</v>
      </c>
      <c r="C39" s="357"/>
      <c r="D39" s="357"/>
      <c r="E39" s="357"/>
      <c r="F39" s="357"/>
      <c r="G39" s="357"/>
      <c r="H39" s="15"/>
      <c r="I39" s="21"/>
      <c r="J39" s="21"/>
    </row>
    <row r="40" spans="1:11" ht="15.75" customHeight="1">
      <c r="B40" s="186"/>
      <c r="C40" s="30" t="s">
        <v>816</v>
      </c>
      <c r="D40" s="406" t="str">
        <f>IF(OR(B38="_keine",B38=""),"",VLOOKUP(B38,'Tab org. Kompost_N-expert'!B:D,3,FALSE))</f>
        <v/>
      </c>
      <c r="E40" s="356"/>
      <c r="F40" s="356"/>
      <c r="G40" s="22" t="str">
        <f>IF(OR(B38="_keine",B38=""),"","kg/t Frischmasse")</f>
        <v/>
      </c>
      <c r="H40" s="17" t="s">
        <v>820</v>
      </c>
      <c r="I40" s="40" t="str">
        <f>IF(OR(B38="",B38="_keine"),"0",(-B40*D40*4/100))</f>
        <v>0</v>
      </c>
      <c r="J40" s="40" t="s">
        <v>832</v>
      </c>
    </row>
    <row r="41" spans="1:11" ht="15.75" customHeight="1">
      <c r="B41" s="357" t="s">
        <v>828</v>
      </c>
      <c r="C41" s="357"/>
      <c r="D41" s="357"/>
      <c r="E41" s="357"/>
      <c r="F41" s="357"/>
      <c r="G41" s="357"/>
      <c r="H41" s="15"/>
      <c r="I41" s="18"/>
      <c r="J41" s="18"/>
      <c r="K41" s="19"/>
    </row>
    <row r="42" spans="1:11" ht="15.75" customHeight="1">
      <c r="B42" s="358"/>
      <c r="C42" s="433"/>
      <c r="D42" s="433"/>
      <c r="E42" s="433"/>
      <c r="F42" s="433"/>
      <c r="G42" s="433"/>
      <c r="H42" s="15"/>
      <c r="I42" s="20"/>
      <c r="J42" s="20"/>
      <c r="K42" s="19"/>
    </row>
    <row r="43" spans="1:11" ht="15.75" customHeight="1">
      <c r="B43" s="357" t="s">
        <v>824</v>
      </c>
      <c r="C43" s="357"/>
      <c r="D43" s="357"/>
      <c r="E43" s="357"/>
      <c r="F43" s="357"/>
      <c r="G43" s="357"/>
      <c r="H43" s="15"/>
      <c r="I43" s="21"/>
      <c r="J43" s="21"/>
    </row>
    <row r="44" spans="1:11" ht="15.75" customHeight="1">
      <c r="B44" s="186"/>
      <c r="C44" s="30" t="s">
        <v>816</v>
      </c>
      <c r="D44" s="406" t="str">
        <f>IF(OR(B42="_keine",B42=""),"",VLOOKUP(B42,'Tab org. Kompost_N-expert'!B:D,3,FALSE))</f>
        <v/>
      </c>
      <c r="E44" s="356"/>
      <c r="F44" s="356"/>
      <c r="G44" s="22" t="str">
        <f>IF(OR(B42="_keine",B42=""),"","kg/t Frischmasse")</f>
        <v/>
      </c>
      <c r="H44" s="17" t="s">
        <v>820</v>
      </c>
      <c r="I44" s="40" t="str">
        <f>IF(OR(B42="",B42="_keine"),"0",(-B44*D44*3/100))</f>
        <v>0</v>
      </c>
      <c r="J44" s="40" t="s">
        <v>832</v>
      </c>
    </row>
    <row r="45" spans="1:11" ht="15.75" customHeight="1">
      <c r="B45" s="362" t="s">
        <v>829</v>
      </c>
      <c r="C45" s="362"/>
      <c r="D45" s="362"/>
      <c r="E45" s="362"/>
      <c r="F45" s="362"/>
      <c r="G45" s="362"/>
      <c r="H45" s="15"/>
      <c r="I45" s="18"/>
      <c r="J45" s="18"/>
      <c r="K45" s="19"/>
    </row>
    <row r="46" spans="1:11" ht="15.75" customHeight="1">
      <c r="B46" s="358"/>
      <c r="C46" s="433"/>
      <c r="D46" s="433"/>
      <c r="E46" s="433"/>
      <c r="F46" s="433"/>
      <c r="G46" s="433"/>
      <c r="H46" s="15"/>
      <c r="I46" s="20"/>
      <c r="J46" s="20"/>
      <c r="K46" s="19"/>
    </row>
    <row r="47" spans="1:11" ht="15.75" customHeight="1">
      <c r="B47" s="357" t="s">
        <v>824</v>
      </c>
      <c r="C47" s="357"/>
      <c r="D47" s="357"/>
      <c r="E47" s="357"/>
      <c r="F47" s="357"/>
      <c r="G47" s="357"/>
      <c r="H47" s="15"/>
      <c r="I47" s="18"/>
      <c r="J47" s="18"/>
    </row>
    <row r="48" spans="1:11" ht="15.75" customHeight="1">
      <c r="B48" s="186">
        <v>100</v>
      </c>
      <c r="C48" s="30" t="s">
        <v>816</v>
      </c>
      <c r="D48" s="406" t="str">
        <f>IF(OR(B46="_keine",B46=""),"",VLOOKUP(B46,'Tab org. Kompost_N-expert'!B:D,3,FALSE))</f>
        <v/>
      </c>
      <c r="E48" s="356"/>
      <c r="F48" s="356"/>
      <c r="G48" s="22" t="str">
        <f>IF(OR(B46="_keine",B46=""),"","kg/t Frischmasse")</f>
        <v/>
      </c>
      <c r="H48" s="17" t="s">
        <v>820</v>
      </c>
      <c r="I48" s="40" t="str">
        <f>IF(OR(B46="",B46="_keine"),"0",(-B48*D48*3/100))</f>
        <v>0</v>
      </c>
      <c r="J48" s="40" t="s">
        <v>832</v>
      </c>
      <c r="K48" s="126"/>
    </row>
    <row r="49" spans="1:11" s="11" customFormat="1" ht="7.5" customHeight="1">
      <c r="A49" s="7"/>
      <c r="B49" s="8"/>
      <c r="C49" s="23"/>
      <c r="D49" s="23"/>
      <c r="E49" s="23"/>
      <c r="F49" s="23"/>
      <c r="G49" s="123"/>
      <c r="H49" s="24"/>
      <c r="I49" s="25"/>
      <c r="J49" s="25"/>
      <c r="K49" s="26"/>
    </row>
    <row r="50" spans="1:11" s="27" customFormat="1" ht="22.5" customHeight="1">
      <c r="B50" s="374" t="s">
        <v>1097</v>
      </c>
      <c r="C50" s="374"/>
      <c r="D50" s="374"/>
      <c r="E50" s="374"/>
      <c r="F50" s="374"/>
      <c r="G50" s="374"/>
      <c r="H50" s="29"/>
      <c r="I50" s="41">
        <f>IF(SUM(I13:I48)&lt;0,"0",SUM(I13:I48))</f>
        <v>0</v>
      </c>
      <c r="J50" s="43" t="s">
        <v>832</v>
      </c>
      <c r="K50" s="28"/>
    </row>
    <row r="51" spans="1:11" s="27" customFormat="1" ht="66.75" customHeight="1">
      <c r="B51" s="350" t="s">
        <v>1278</v>
      </c>
      <c r="C51" s="351"/>
      <c r="D51" s="351"/>
      <c r="E51" s="351"/>
      <c r="F51" s="351"/>
      <c r="G51" s="351"/>
      <c r="H51" s="351"/>
      <c r="I51" s="351"/>
      <c r="J51" s="351"/>
      <c r="K51" s="28"/>
    </row>
    <row r="52" spans="1:11" s="27" customFormat="1" ht="14.25" customHeight="1">
      <c r="A52" s="352"/>
      <c r="B52" s="352"/>
      <c r="C52" s="352"/>
      <c r="D52" s="352"/>
      <c r="E52" s="352"/>
      <c r="F52" s="352"/>
      <c r="G52" s="352"/>
      <c r="H52" s="38"/>
      <c r="I52" s="42"/>
      <c r="J52" s="42"/>
      <c r="K52" s="28"/>
    </row>
  </sheetData>
  <sheetProtection algorithmName="SHA-512" hashValue="U8kMAufzkS6q0aCeGZb9XsV6vWvDSnrVAlfdW3kor2SBAvmItk+5X0ChmmPA2o1HWNZ5aNqTk5XXFNCX1EJ+EA==" saltValue="4TXQ3hJlyVZ6gv/Jjfdupw==" spinCount="100000" sheet="1" objects="1" scenarios="1" selectLockedCells="1"/>
  <mergeCells count="53">
    <mergeCell ref="B26:G26"/>
    <mergeCell ref="B25:G25"/>
    <mergeCell ref="B51:J51"/>
    <mergeCell ref="B50:G50"/>
    <mergeCell ref="D15:F15"/>
    <mergeCell ref="B27:G27"/>
    <mergeCell ref="D33:F33"/>
    <mergeCell ref="D34:F34"/>
    <mergeCell ref="D35:F35"/>
    <mergeCell ref="D36:F36"/>
    <mergeCell ref="B37:G37"/>
    <mergeCell ref="B28:G28"/>
    <mergeCell ref="B29:G29"/>
    <mergeCell ref="B30:G30"/>
    <mergeCell ref="B31:G31"/>
    <mergeCell ref="B32:G32"/>
    <mergeCell ref="H14:J14"/>
    <mergeCell ref="B13:E13"/>
    <mergeCell ref="C20:G20"/>
    <mergeCell ref="C22:G22"/>
    <mergeCell ref="B24:G24"/>
    <mergeCell ref="A16:G16"/>
    <mergeCell ref="C17:G17"/>
    <mergeCell ref="A18:G18"/>
    <mergeCell ref="B14:E14"/>
    <mergeCell ref="B19:D19"/>
    <mergeCell ref="B23:G23"/>
    <mergeCell ref="B21:G21"/>
    <mergeCell ref="A1:J1"/>
    <mergeCell ref="A3:G3"/>
    <mergeCell ref="A4:G4"/>
    <mergeCell ref="H5:I5"/>
    <mergeCell ref="A6:C6"/>
    <mergeCell ref="I6:J6"/>
    <mergeCell ref="A7:C7"/>
    <mergeCell ref="I7:J7"/>
    <mergeCell ref="A11:J11"/>
    <mergeCell ref="G12:J12"/>
    <mergeCell ref="B12:E12"/>
    <mergeCell ref="A9:J9"/>
    <mergeCell ref="A10:J10"/>
    <mergeCell ref="B39:G39"/>
    <mergeCell ref="B38:G38"/>
    <mergeCell ref="A52:G52"/>
    <mergeCell ref="D40:F40"/>
    <mergeCell ref="B42:G42"/>
    <mergeCell ref="B43:G43"/>
    <mergeCell ref="D44:F44"/>
    <mergeCell ref="B46:G46"/>
    <mergeCell ref="B47:G47"/>
    <mergeCell ref="D48:F48"/>
    <mergeCell ref="B41:G41"/>
    <mergeCell ref="B45:G45"/>
  </mergeCells>
  <conditionalFormatting sqref="I13:J13 I19:J20 I15:J17 I22:J24 I26:J50">
    <cfRule type="cellIs" dxfId="201" priority="5" operator="lessThan">
      <formula>0</formula>
    </cfRule>
  </conditionalFormatting>
  <conditionalFormatting sqref="I52">
    <cfRule type="cellIs" dxfId="200" priority="4" operator="lessThan">
      <formula>0</formula>
    </cfRule>
  </conditionalFormatting>
  <conditionalFormatting sqref="K13">
    <cfRule type="cellIs" dxfId="199" priority="3" operator="lessThan">
      <formula>0</formula>
    </cfRule>
  </conditionalFormatting>
  <conditionalFormatting sqref="K12">
    <cfRule type="cellIs" dxfId="198" priority="2" operator="lessThan">
      <formula>0</formula>
    </cfRule>
  </conditionalFormatting>
  <conditionalFormatting sqref="J52">
    <cfRule type="cellIs" dxfId="197" priority="1" operator="lessThan">
      <formula>0</formula>
    </cfRule>
  </conditionalFormatting>
  <dataValidations count="2">
    <dataValidation allowBlank="1" showInputMessage="1" showErrorMessage="1" errorTitle="Datum" error="Sie haben kein Datum eingegeben!" prompt="TT.MM.JJ" sqref="E7"/>
    <dataValidation type="list" showInputMessage="1" showErrorMessage="1" error="Kultur aus der Dropdown-Liste auswählen. Für fehelnde Kulturen sind derzeit keine N-Bedarfsermittlungen möglich." sqref="B13:E13">
      <formula1>Ackerbau</formula1>
    </dataValidation>
  </dataValidations>
  <pageMargins left="0.78740157480314965" right="0.39370078740157483" top="0.78740157480314965" bottom="0.19685039370078741" header="0.31496062992125984" footer="0.31496062992125984"/>
  <pageSetup paperSize="9" orientation="portrait" r:id="rId1"/>
  <headerFooter>
    <oddHeader xml:space="preserve">&amp;L&amp;8Dienstleistungszentrum Ländlicher Raum (DLR) - Rheinpfalz, Breitenweg 71, 67435 Neustadt/Weinstraße
Alle Angaben ohne Gewähr. </oddHead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'Verfrühung, Vorkultur'!$A$2:$A$3</xm:f>
          </x14:formula1>
          <xm:sqref>B17 B22</xm:sqref>
        </x14:dataValidation>
        <x14:dataValidation type="list" allowBlank="1" showInputMessage="1" showErrorMessage="1" error="Vorfrucht, Zwischenfrucht aus der Dropdown-Liste auswählen. ">
          <x14:formula1>
            <xm:f>'Tab 7 DüV_A-VF'!$A$2:$A$18</xm:f>
          </x14:formula1>
          <xm:sqref>B24:G24</xm:sqref>
        </x14:dataValidation>
        <x14:dataValidation type="list" allowBlank="1" showInputMessage="1" showErrorMessage="1" error="Vorfrucht, Zwischenfrucht aus der Dropdown-Liste auswählen. ">
          <x14:formula1>
            <xm:f>'Tab 7 DüV_A-ZF'!$A$2:$A$9</xm:f>
          </x14:formula1>
          <xm:sqref>B26:G26</xm:sqref>
        </x14:dataValidation>
        <x14:dataValidation type="list" allowBlank="1" showInputMessage="1" showErrorMessage="1" error="Kompost aus der Dropdown-Liste auswählen. Andere sind derzeit nicht verfügbar.">
          <x14:formula1>
            <xm:f>'Tab org. Kompost_N-expert'!$B$2:$B$48</xm:f>
          </x14:formula1>
          <xm:sqref>B38:G38 B42:G42 B46:G46</xm:sqref>
        </x14:dataValidation>
        <x14:dataValidation type="list" allowBlank="1" showInputMessage="1" showErrorMessage="1" error="Dünger aus der Dropdown-Liste auswählen. Andere sind derzeit nicht verfügbar.">
          <x14:formula1>
            <xm:f>'Tab org. D_N-expert'!$B$2:$B$540</xm:f>
          </x14:formula1>
          <xm:sqref>B28:G31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S35"/>
  <sheetViews>
    <sheetView showGridLines="0" zoomScaleNormal="100" zoomScaleSheetLayoutView="130" workbookViewId="0">
      <selection activeCell="B16" sqref="B16"/>
    </sheetView>
  </sheetViews>
  <sheetFormatPr baseColWidth="10" defaultRowHeight="15.75"/>
  <cols>
    <col min="1" max="1" width="2.85546875" style="13" customWidth="1"/>
    <col min="2" max="2" width="9.5703125" style="13" customWidth="1"/>
    <col min="3" max="3" width="11.5703125" style="13" customWidth="1"/>
    <col min="4" max="4" width="2.85546875" style="13" customWidth="1"/>
    <col min="5" max="5" width="15" style="13" customWidth="1"/>
    <col min="6" max="6" width="2.42578125" style="13" customWidth="1"/>
    <col min="7" max="7" width="10.42578125" style="13" customWidth="1"/>
    <col min="8" max="8" width="7.85546875" style="13" customWidth="1"/>
    <col min="9" max="9" width="7.140625" style="13" customWidth="1"/>
    <col min="10" max="10" width="6.5703125" style="14" customWidth="1"/>
    <col min="11" max="11" width="7.85546875" style="13" customWidth="1"/>
    <col min="12" max="12" width="7.140625" style="13" customWidth="1"/>
    <col min="13" max="13" width="21.140625" style="13" customWidth="1"/>
    <col min="14" max="16384" width="11.42578125" style="13"/>
  </cols>
  <sheetData>
    <row r="1" spans="1:15" ht="31.5">
      <c r="A1" s="364" t="s">
        <v>1285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</row>
    <row r="2" spans="1:15" ht="4.5" customHeight="1"/>
    <row r="3" spans="1:15" ht="13.5" customHeight="1">
      <c r="A3" s="369" t="str">
        <f>'N-Bedarf Gemüse Erdbeere'!A3:G3</f>
        <v>Version für Excel 2010 und höher, DLR Rheinpfalz Mahler/Ziegler</v>
      </c>
      <c r="B3" s="369"/>
      <c r="C3" s="369"/>
      <c r="D3" s="369"/>
      <c r="E3" s="369"/>
      <c r="F3" s="369"/>
      <c r="G3" s="369"/>
      <c r="H3" s="369"/>
      <c r="I3" s="124"/>
      <c r="J3" s="160" t="str">
        <f>'N-Bedarf Gemüse Erdbeere'!H3</f>
        <v>Stand:</v>
      </c>
      <c r="K3" s="159">
        <f>'N-Bedarf Gemüse Erdbeere'!I3</f>
        <v>45335</v>
      </c>
    </row>
    <row r="4" spans="1:15" ht="9.75" customHeight="1">
      <c r="A4" s="366" t="str">
        <f>'N-Bedarf Gemüse Erdbeere'!A4:G4</f>
        <v>Quellen: DüV 2017/Änd. 2020, N-Expertdaten IGZ Großbeeren</v>
      </c>
      <c r="B4" s="366"/>
      <c r="C4" s="366"/>
      <c r="D4" s="366"/>
      <c r="E4" s="366"/>
      <c r="F4" s="366"/>
      <c r="G4" s="366"/>
      <c r="H4" s="122"/>
      <c r="I4" s="122"/>
      <c r="J4" s="35"/>
      <c r="K4" s="36"/>
      <c r="L4" s="36"/>
    </row>
    <row r="5" spans="1:15" ht="14.25" customHeight="1">
      <c r="J5" s="367"/>
      <c r="K5" s="367"/>
      <c r="L5" s="123"/>
    </row>
    <row r="6" spans="1:15" ht="15.75" customHeight="1">
      <c r="A6" s="365" t="s">
        <v>7</v>
      </c>
      <c r="B6" s="398"/>
      <c r="C6" s="398"/>
      <c r="D6" s="9"/>
      <c r="E6" s="30" t="s">
        <v>821</v>
      </c>
      <c r="F6" s="121"/>
      <c r="G6" s="365" t="s">
        <v>834</v>
      </c>
      <c r="H6" s="365"/>
      <c r="I6" s="365"/>
      <c r="J6" s="121"/>
      <c r="K6" s="365" t="s">
        <v>825</v>
      </c>
      <c r="L6" s="365"/>
    </row>
    <row r="7" spans="1:15" ht="15.75" customHeight="1">
      <c r="A7" s="396" t="str">
        <f>IF('N-Bedarf Ackerbau'!A7:C7="","",'N-Bedarf Ackerbau'!A7:C7)</f>
        <v/>
      </c>
      <c r="B7" s="396"/>
      <c r="C7" s="396"/>
      <c r="E7" s="150" t="str">
        <f>IF('N-Bedarf Ackerbau'!E7="","",'N-Bedarf Ackerbau'!E7)</f>
        <v/>
      </c>
      <c r="G7" s="396" t="str">
        <f>IF('N-Bedarf Ackerbau'!G7="","",'N-Bedarf Ackerbau'!G7)</f>
        <v/>
      </c>
      <c r="H7" s="396"/>
      <c r="I7" s="396"/>
      <c r="J7" s="45"/>
      <c r="K7" s="440" t="str">
        <f>IF('N-Bedarf Ackerbau'!I7="","",'N-Bedarf Ackerbau'!I7)</f>
        <v/>
      </c>
      <c r="L7" s="441"/>
    </row>
    <row r="8" spans="1:15" ht="7.5" customHeight="1">
      <c r="A8" s="10"/>
      <c r="B8" s="10"/>
      <c r="C8" s="10"/>
      <c r="D8" s="10"/>
      <c r="E8" s="10"/>
      <c r="F8" s="10"/>
      <c r="G8" s="10"/>
      <c r="H8" s="10"/>
      <c r="I8" s="10"/>
      <c r="K8" s="16"/>
      <c r="L8" s="16"/>
    </row>
    <row r="9" spans="1:15" s="32" customFormat="1" ht="39" customHeight="1">
      <c r="A9" s="439" t="s">
        <v>1099</v>
      </c>
      <c r="B9" s="439"/>
      <c r="C9" s="439"/>
      <c r="D9" s="439"/>
      <c r="E9" s="439"/>
      <c r="F9" s="439"/>
      <c r="G9" s="439"/>
      <c r="H9" s="439"/>
      <c r="I9" s="439"/>
      <c r="J9" s="439"/>
      <c r="K9" s="439"/>
      <c r="L9" s="439"/>
      <c r="M9" s="124"/>
    </row>
    <row r="10" spans="1:15" s="32" customFormat="1" ht="23.25">
      <c r="A10" s="117" t="s">
        <v>1084</v>
      </c>
      <c r="B10" s="349" t="s">
        <v>1289</v>
      </c>
      <c r="C10" s="349"/>
      <c r="D10" s="349"/>
      <c r="E10" s="349"/>
      <c r="F10" s="31"/>
      <c r="G10" s="370"/>
      <c r="H10" s="370"/>
      <c r="I10" s="370"/>
      <c r="J10" s="370"/>
      <c r="K10" s="370"/>
      <c r="L10" s="370"/>
      <c r="M10" s="33"/>
      <c r="N10" s="13"/>
    </row>
    <row r="11" spans="1:15" s="11" customFormat="1" ht="23.25">
      <c r="B11" s="400" t="str">
        <f>IF('N-Bedarf Ackerbau'!B13:E13="","",'N-Bedarf Ackerbau'!B13:E13)</f>
        <v/>
      </c>
      <c r="C11" s="400"/>
      <c r="D11" s="400"/>
      <c r="E11" s="400"/>
      <c r="F11" s="46"/>
      <c r="G11" s="401" t="str">
        <f>IF(B11="","",VLOOKUP(B11,'Tab 2+3 DüV_A'!A:B,2,FALSE))</f>
        <v/>
      </c>
      <c r="H11" s="401"/>
      <c r="I11" s="401"/>
      <c r="J11" s="17" t="s">
        <v>820</v>
      </c>
      <c r="K11" s="39" t="str">
        <f>IF(B11="","0",VLOOKUP(B11,'Tab 2+3 DüV_A'!A:J,10,FALSE)*G11)</f>
        <v>0</v>
      </c>
      <c r="L11" s="44" t="s">
        <v>832</v>
      </c>
      <c r="M11" s="50"/>
      <c r="N11" s="13"/>
    </row>
    <row r="12" spans="1:15" s="11" customFormat="1" ht="23.25">
      <c r="A12" s="381" t="s">
        <v>852</v>
      </c>
      <c r="B12" s="381"/>
      <c r="C12" s="381"/>
      <c r="D12" s="381"/>
      <c r="E12" s="13"/>
      <c r="F12" s="46"/>
      <c r="G12" s="46"/>
      <c r="H12" s="46"/>
      <c r="I12" s="46"/>
      <c r="J12" s="17"/>
      <c r="K12" s="63"/>
      <c r="L12" s="63"/>
      <c r="M12" s="50"/>
      <c r="N12" s="13"/>
    </row>
    <row r="13" spans="1:15" ht="15.75" customHeight="1">
      <c r="A13" s="30" t="s">
        <v>1085</v>
      </c>
      <c r="B13" s="362" t="s">
        <v>1122</v>
      </c>
      <c r="C13" s="362"/>
      <c r="D13" s="362"/>
      <c r="E13" s="362"/>
      <c r="F13" s="362"/>
      <c r="G13" s="126"/>
      <c r="H13" s="126"/>
      <c r="I13" s="126"/>
      <c r="J13" s="15"/>
      <c r="K13" s="16"/>
      <c r="L13" s="16"/>
      <c r="M13" s="50"/>
    </row>
    <row r="14" spans="1:15" ht="15.75" customHeight="1">
      <c r="B14" s="151" t="str">
        <f>IF('N-Bedarf Ackerbau'!B15="","",'N-Bedarf Ackerbau'!B15)</f>
        <v/>
      </c>
      <c r="C14" s="382" t="str">
        <f>IF(OR(B14="",B11=""),"",IF(G11=0,"keine Ertragserwartung",IF(B14=0,-100,(B14-G11)*100/G11)))</f>
        <v/>
      </c>
      <c r="D14" s="382"/>
      <c r="E14" s="9"/>
      <c r="F14" s="9"/>
      <c r="G14" s="9"/>
      <c r="H14" s="9"/>
      <c r="I14" s="9"/>
      <c r="J14" s="17" t="s">
        <v>820</v>
      </c>
      <c r="K14" s="40" t="str">
        <f>IF(OR(G11=0,B14="",B11=""),"0",(B14*K11/G11)-K11)</f>
        <v>0</v>
      </c>
      <c r="L14" s="44" t="s">
        <v>832</v>
      </c>
      <c r="M14" s="50"/>
    </row>
    <row r="15" spans="1:15" s="32" customFormat="1" ht="18" customHeight="1">
      <c r="A15" s="117" t="s">
        <v>1086</v>
      </c>
      <c r="B15" s="402" t="s">
        <v>854</v>
      </c>
      <c r="C15" s="402"/>
      <c r="D15" s="402"/>
      <c r="E15" s="30" t="s">
        <v>843</v>
      </c>
      <c r="F15" s="127"/>
      <c r="G15" s="377" t="s">
        <v>874</v>
      </c>
      <c r="H15" s="377"/>
      <c r="I15" s="377"/>
      <c r="K15" s="64"/>
      <c r="L15" s="64"/>
      <c r="M15" s="50"/>
      <c r="N15" s="13"/>
      <c r="O15" s="32" t="s">
        <v>819</v>
      </c>
    </row>
    <row r="16" spans="1:15" ht="15.75" customHeight="1">
      <c r="B16" s="66"/>
      <c r="C16" s="119"/>
      <c r="D16" s="119"/>
      <c r="E16" s="66"/>
      <c r="F16" s="119"/>
      <c r="G16" s="78" t="str">
        <f>IF(OR(B16="",B16=0),"",VLOOKUP(B16,'Boden Bolap'!A:D,2))</f>
        <v/>
      </c>
      <c r="H16" s="119"/>
      <c r="I16" s="119"/>
      <c r="J16" s="17" t="s">
        <v>820</v>
      </c>
      <c r="K16" s="40" t="str">
        <f>IF(B16="","0",VLOOKUP(B16,'Boden Bolap'!A:D,3))</f>
        <v>0</v>
      </c>
      <c r="L16" s="44" t="s">
        <v>832</v>
      </c>
      <c r="M16" s="50"/>
    </row>
    <row r="17" spans="1:19" ht="15.75" customHeight="1">
      <c r="A17" s="119"/>
      <c r="B17" s="119"/>
      <c r="C17" s="119"/>
      <c r="D17" s="119"/>
      <c r="E17" s="119"/>
      <c r="F17" s="119"/>
      <c r="G17" s="119"/>
      <c r="H17" s="119"/>
      <c r="I17" s="119"/>
      <c r="J17" s="119"/>
      <c r="K17" s="65"/>
      <c r="L17" s="65"/>
      <c r="M17" s="50"/>
      <c r="O17" s="119"/>
    </row>
    <row r="18" spans="1:19" ht="27" customHeight="1">
      <c r="B18" s="392" t="s">
        <v>1614</v>
      </c>
      <c r="C18" s="393"/>
      <c r="D18" s="393"/>
      <c r="E18" s="393"/>
      <c r="F18" s="393"/>
      <c r="G18" s="393"/>
      <c r="H18" s="393"/>
      <c r="I18" s="393"/>
      <c r="J18" s="103" t="s">
        <v>1034</v>
      </c>
      <c r="K18" s="41" t="str">
        <f>IF(B16="","0",SUM(K11,K14,K16))</f>
        <v>0</v>
      </c>
      <c r="L18" s="214" t="s">
        <v>832</v>
      </c>
      <c r="M18" s="50"/>
    </row>
    <row r="19" spans="1:19" ht="42" customHeight="1">
      <c r="B19" s="429" t="s">
        <v>1077</v>
      </c>
      <c r="C19" s="429"/>
      <c r="D19" s="429"/>
      <c r="E19" s="429"/>
      <c r="F19" s="429"/>
      <c r="G19" s="429"/>
      <c r="H19" s="429"/>
      <c r="I19" s="429"/>
      <c r="J19" s="429"/>
      <c r="K19" s="429"/>
      <c r="L19" s="429"/>
      <c r="M19" s="50"/>
    </row>
    <row r="20" spans="1:19" ht="47.25" hidden="1" customHeight="1" thickBot="1">
      <c r="B20" s="388" t="s">
        <v>1284</v>
      </c>
      <c r="C20" s="389"/>
      <c r="D20" s="389"/>
      <c r="E20" s="389"/>
      <c r="F20" s="389"/>
      <c r="G20" s="389"/>
      <c r="H20" s="389"/>
      <c r="I20" s="390"/>
      <c r="J20" s="221" t="s">
        <v>820</v>
      </c>
      <c r="K20" s="219" t="str">
        <f>IF(OR(B16="",B16=0),K18,K18+I21)</f>
        <v>0</v>
      </c>
      <c r="L20" s="220" t="s">
        <v>832</v>
      </c>
      <c r="M20" s="50"/>
    </row>
    <row r="21" spans="1:19" ht="50.25" customHeight="1">
      <c r="I21" s="218" t="str">
        <f>IF(OR(B16="",B16=0),"",IF(B16&gt;13.8,VLOOKUP(B16,'Boden Bolap'!A1:D42,4)*(K11+K14)-(K11+K14),0))</f>
        <v/>
      </c>
      <c r="M21" s="50"/>
    </row>
    <row r="22" spans="1:19" ht="20.25">
      <c r="C22" s="387" t="s">
        <v>1022</v>
      </c>
      <c r="D22" s="387"/>
      <c r="E22" s="387"/>
      <c r="F22" s="387"/>
      <c r="G22" s="387"/>
      <c r="H22" s="387"/>
      <c r="I22" s="387"/>
      <c r="J22" s="387"/>
      <c r="K22" s="387"/>
      <c r="L22" s="387"/>
    </row>
    <row r="23" spans="1:19" ht="6.75" customHeight="1"/>
    <row r="24" spans="1:19" ht="23.25">
      <c r="G24" s="68"/>
      <c r="H24" s="385" t="s">
        <v>860</v>
      </c>
      <c r="I24" s="385"/>
      <c r="J24" s="76"/>
      <c r="K24" s="385" t="s">
        <v>840</v>
      </c>
      <c r="L24" s="385"/>
      <c r="P24" s="424" t="str">
        <f>IF(T4="","",T4)</f>
        <v/>
      </c>
      <c r="Q24" s="424"/>
      <c r="R24" s="424"/>
      <c r="S24" s="424"/>
    </row>
    <row r="25" spans="1:19">
      <c r="C25" s="362" t="s">
        <v>858</v>
      </c>
      <c r="D25" s="362"/>
      <c r="E25" s="362"/>
      <c r="F25" s="362"/>
      <c r="G25" s="18"/>
      <c r="H25" s="75"/>
      <c r="I25" s="67" t="s">
        <v>837</v>
      </c>
      <c r="J25" s="18"/>
      <c r="K25" s="75"/>
      <c r="L25" s="67" t="s">
        <v>837</v>
      </c>
    </row>
    <row r="26" spans="1:19" ht="6.75" customHeight="1">
      <c r="G26" s="18"/>
      <c r="H26" s="18"/>
      <c r="I26" s="18"/>
      <c r="J26" s="18"/>
      <c r="K26" s="18"/>
      <c r="L26" s="18"/>
    </row>
    <row r="27" spans="1:19">
      <c r="C27" s="362" t="s">
        <v>841</v>
      </c>
      <c r="D27" s="362"/>
      <c r="E27" s="362"/>
      <c r="F27" s="362"/>
      <c r="G27" s="18"/>
      <c r="H27" s="71" t="str">
        <f>IF(E16="","Bodenart?",IF(H25="","Gehalt?",IF(E16="leicht",VLOOKUP(H25,'Boden Bolap'!F:J,3),IF(E16="mittel",VLOOKUP(H25,'Boden Bolap'!K:O,3),IF(E16="schwer",VLOOKUP(H25,'Boden Bolap'!P:T,3))))))</f>
        <v>Bodenart?</v>
      </c>
      <c r="I27" s="71" t="s">
        <v>832</v>
      </c>
      <c r="J27" s="18"/>
      <c r="K27" s="71" t="str">
        <f>IF(E16="","Bodenart?",IF(K25="","Gehalt?",IF(E16="leicht",VLOOKUP(K25,'Boden Bolap'!U:Y,3),IF(E16="mittel",VLOOKUP(K25,'Boden Bolap'!Z:AD,3),IF(E16="schwer",VLOOKUP(K25,'Boden Bolap'!AE:AI,3))))))</f>
        <v>Bodenart?</v>
      </c>
      <c r="L27" s="71" t="s">
        <v>832</v>
      </c>
    </row>
    <row r="28" spans="1:19" ht="6.75" customHeight="1">
      <c r="G28" s="18"/>
      <c r="H28" s="18"/>
      <c r="I28" s="18"/>
      <c r="J28" s="18"/>
      <c r="K28" s="18"/>
      <c r="L28" s="18"/>
    </row>
    <row r="29" spans="1:19">
      <c r="C29" s="130" t="s">
        <v>855</v>
      </c>
      <c r="D29" s="394" t="str">
        <f>IF(G11="","",G11)</f>
        <v/>
      </c>
      <c r="E29" s="395"/>
      <c r="F29" s="395"/>
      <c r="G29" s="130"/>
      <c r="H29" s="72" t="str">
        <f>IF(B11="","0",VLOOKUP(B11,'Tab 2+3 DüV_A'!A:K,11,FALSE)*G11)</f>
        <v>0</v>
      </c>
      <c r="I29" s="73" t="s">
        <v>832</v>
      </c>
      <c r="J29" s="74"/>
      <c r="K29" s="72" t="str">
        <f>IF(B11="","0",VLOOKUP(B11,'Tab 2+3 DüV_A'!A:L,12,FALSE)*G11)</f>
        <v>0</v>
      </c>
      <c r="L29" s="73" t="s">
        <v>832</v>
      </c>
    </row>
    <row r="30" spans="1:19" ht="6.75" customHeight="1">
      <c r="G30" s="18"/>
      <c r="H30" s="18"/>
      <c r="I30" s="18"/>
      <c r="J30" s="18"/>
      <c r="K30" s="18"/>
      <c r="L30" s="18"/>
    </row>
    <row r="31" spans="1:19">
      <c r="C31" s="362" t="s">
        <v>856</v>
      </c>
      <c r="D31" s="362"/>
      <c r="E31" s="362"/>
      <c r="F31" s="98" t="str">
        <f>IF(C14="","","bei")</f>
        <v/>
      </c>
      <c r="G31" s="128" t="str">
        <f>IF(C14="","",C14)</f>
        <v/>
      </c>
      <c r="H31" s="71" t="str">
        <f>IF(OR(B11="",B14="",G11=0),"0",(B14*H29/G11)-H29)</f>
        <v>0</v>
      </c>
      <c r="I31" s="71" t="s">
        <v>832</v>
      </c>
      <c r="J31" s="18"/>
      <c r="K31" s="71" t="str">
        <f>IF(OR(B14="",B11="",G11=0),"0",(B14*K29/G11)-K29)</f>
        <v>0</v>
      </c>
      <c r="L31" s="71" t="s">
        <v>832</v>
      </c>
    </row>
    <row r="32" spans="1:19" ht="6.75" customHeight="1">
      <c r="G32" s="18"/>
      <c r="H32" s="18"/>
      <c r="I32" s="18"/>
      <c r="J32" s="18"/>
      <c r="K32" s="18"/>
      <c r="L32" s="18"/>
    </row>
    <row r="33" spans="3:12">
      <c r="C33" s="362" t="s">
        <v>857</v>
      </c>
      <c r="D33" s="362"/>
      <c r="E33" s="362"/>
      <c r="G33" s="18"/>
      <c r="H33" s="71" t="str">
        <f>IF(OR(B11="",E16="",H25=""),"0",IF(AND(E16="leicht",H25&lt;14),VLOOKUP(H25,'Boden Bolap'!F:J,4),IF(AND(E16="leicht",H25&gt;13),VLOOKUP(H25,'Boden Bolap'!F:J,5)*H29-H29,IF(AND(E16="mittel",H25&lt;18),VLOOKUP(H25,'Boden Bolap'!K:O,4),IF(AND(E16="mittel",H25&gt;17),VLOOKUP(H25,'Boden Bolap'!K:O,5)*H29-H29,IF(AND(E16="schwer",H25&lt;22),VLOOKUP(H25,'Boden Bolap'!P:T,4),IF(AND(E16="schwer",H25&gt;21),VLOOKUP(H25,'Boden Bolap'!P:T,5)*H29-H29)))))))</f>
        <v>0</v>
      </c>
      <c r="I33" s="71" t="s">
        <v>832</v>
      </c>
      <c r="J33" s="18"/>
      <c r="K33" s="71" t="str">
        <f>IF(OR(B11="",E16="",K25=""),"0",IF(AND(E16="leicht",K25&lt;7),VLOOKUP(K25,'Boden Bolap'!U:Y,4),IF(AND(E16="leicht",K25&gt;6),VLOOKUP(K25,'Boden Bolap'!U:Y,5)*K29-K29,IF(AND(E16="mittel",K25&lt;11),VLOOKUP(K25,'Boden Bolap'!Z:AD,4),IF(AND(E16="mittel",K25&gt;10),VLOOKUP(K25,'Boden Bolap'!Z:AD,5)*K29-K29,IF(AND(E16="schwer",K25&lt;15),VLOOKUP(K25,'Boden Bolap'!AE:AI,4),IF(AND(E16="schwer",K25&gt;14),VLOOKUP(K25,'Boden Bolap'!AE:AI,5)*K29-K29)))))))</f>
        <v>0</v>
      </c>
      <c r="L33" s="71" t="s">
        <v>832</v>
      </c>
    </row>
    <row r="34" spans="3:12" ht="6.75" customHeight="1">
      <c r="G34" s="18"/>
      <c r="H34" s="69"/>
      <c r="I34" s="69"/>
      <c r="J34" s="18"/>
      <c r="K34" s="18"/>
      <c r="L34" s="18"/>
    </row>
    <row r="35" spans="3:12" ht="18.75">
      <c r="C35" s="423" t="s">
        <v>1076</v>
      </c>
      <c r="D35" s="423"/>
      <c r="E35" s="423"/>
      <c r="F35" s="423"/>
      <c r="G35" s="18"/>
      <c r="H35" s="70" t="str">
        <f>IF(H25="","Gehalt?",IF(H27="Bodenart?","",IF(SUM(H29,H31,H33)&lt;0,"0",SUM(H29,H31,H33))))</f>
        <v>Gehalt?</v>
      </c>
      <c r="I35" s="70" t="s">
        <v>832</v>
      </c>
      <c r="J35" s="18"/>
      <c r="K35" s="70" t="str">
        <f>IF(K25="","Gehalt?",IF(K27="Bodenart?","",IF(SUM(K29,K31,K33)&lt;0,"0",SUM(K29,K31,K33))))</f>
        <v>Gehalt?</v>
      </c>
      <c r="L35" s="70" t="s">
        <v>832</v>
      </c>
    </row>
  </sheetData>
  <sheetProtection algorithmName="SHA-512" hashValue="6JTvFoe5+YmDWtvVYtUc1n53INNgy3SBO856A9jgSieIl8wgo3haxaEAK1KPH1MT4aw002BHNbwV2PPnJNVLGg==" saltValue="533tbyUS02JDay4jHa3VLw==" spinCount="100000" sheet="1" objects="1" scenarios="1" selectLockedCells="1"/>
  <mergeCells count="33">
    <mergeCell ref="D29:F29"/>
    <mergeCell ref="C31:E31"/>
    <mergeCell ref="C33:E33"/>
    <mergeCell ref="C35:F35"/>
    <mergeCell ref="C22:L22"/>
    <mergeCell ref="H24:I24"/>
    <mergeCell ref="K24:L24"/>
    <mergeCell ref="P24:S24"/>
    <mergeCell ref="C25:F25"/>
    <mergeCell ref="C27:F27"/>
    <mergeCell ref="A12:D12"/>
    <mergeCell ref="B15:D15"/>
    <mergeCell ref="G15:I15"/>
    <mergeCell ref="C14:D14"/>
    <mergeCell ref="B18:I18"/>
    <mergeCell ref="B20:I20"/>
    <mergeCell ref="B19:L19"/>
    <mergeCell ref="B13:F13"/>
    <mergeCell ref="B11:E11"/>
    <mergeCell ref="G11:I11"/>
    <mergeCell ref="A1:L1"/>
    <mergeCell ref="A4:G4"/>
    <mergeCell ref="J5:K5"/>
    <mergeCell ref="A6:C6"/>
    <mergeCell ref="G6:I6"/>
    <mergeCell ref="K6:L6"/>
    <mergeCell ref="A9:L9"/>
    <mergeCell ref="A7:C7"/>
    <mergeCell ref="G7:I7"/>
    <mergeCell ref="K7:L7"/>
    <mergeCell ref="G10:L10"/>
    <mergeCell ref="B10:E10"/>
    <mergeCell ref="A3:H3"/>
  </mergeCells>
  <conditionalFormatting sqref="K11:L11">
    <cfRule type="cellIs" dxfId="196" priority="30" operator="lessThan">
      <formula>0</formula>
    </cfRule>
  </conditionalFormatting>
  <conditionalFormatting sqref="M11:M18 M21">
    <cfRule type="cellIs" dxfId="195" priority="29" operator="lessThan">
      <formula>0</formula>
    </cfRule>
  </conditionalFormatting>
  <conditionalFormatting sqref="M10">
    <cfRule type="cellIs" dxfId="194" priority="28" operator="lessThan">
      <formula>0</formula>
    </cfRule>
  </conditionalFormatting>
  <conditionalFormatting sqref="K13:L13 K14">
    <cfRule type="cellIs" dxfId="193" priority="27" operator="lessThan">
      <formula>0</formula>
    </cfRule>
  </conditionalFormatting>
  <conditionalFormatting sqref="K16">
    <cfRule type="cellIs" dxfId="192" priority="25" operator="lessThan">
      <formula>0</formula>
    </cfRule>
  </conditionalFormatting>
  <conditionalFormatting sqref="L14">
    <cfRule type="cellIs" dxfId="191" priority="24" operator="lessThan">
      <formula>0</formula>
    </cfRule>
  </conditionalFormatting>
  <conditionalFormatting sqref="L16">
    <cfRule type="cellIs" dxfId="190" priority="23" operator="lessThan">
      <formula>0</formula>
    </cfRule>
  </conditionalFormatting>
  <conditionalFormatting sqref="I27">
    <cfRule type="cellIs" dxfId="189" priority="21" operator="lessThan">
      <formula>0</formula>
    </cfRule>
  </conditionalFormatting>
  <conditionalFormatting sqref="K27">
    <cfRule type="cellIs" dxfId="188" priority="20" operator="lessThan">
      <formula>0</formula>
    </cfRule>
  </conditionalFormatting>
  <conditionalFormatting sqref="K29">
    <cfRule type="cellIs" dxfId="187" priority="19" operator="lessThan">
      <formula>0</formula>
    </cfRule>
  </conditionalFormatting>
  <conditionalFormatting sqref="I29">
    <cfRule type="cellIs" dxfId="186" priority="18" operator="lessThan">
      <formula>0</formula>
    </cfRule>
  </conditionalFormatting>
  <conditionalFormatting sqref="I31">
    <cfRule type="cellIs" dxfId="185" priority="17" operator="lessThan">
      <formula>0</formula>
    </cfRule>
  </conditionalFormatting>
  <conditionalFormatting sqref="K31">
    <cfRule type="cellIs" dxfId="184" priority="16" operator="lessThan">
      <formula>0</formula>
    </cfRule>
  </conditionalFormatting>
  <conditionalFormatting sqref="I35">
    <cfRule type="cellIs" dxfId="183" priority="15" operator="lessThan">
      <formula>0</formula>
    </cfRule>
  </conditionalFormatting>
  <conditionalFormatting sqref="I33">
    <cfRule type="cellIs" dxfId="182" priority="14" operator="lessThan">
      <formula>0</formula>
    </cfRule>
  </conditionalFormatting>
  <conditionalFormatting sqref="K33">
    <cfRule type="cellIs" dxfId="181" priority="13" operator="lessThan">
      <formula>0</formula>
    </cfRule>
  </conditionalFormatting>
  <conditionalFormatting sqref="H35">
    <cfRule type="cellIs" dxfId="180" priority="9" operator="lessThan">
      <formula>0</formula>
    </cfRule>
  </conditionalFormatting>
  <conditionalFormatting sqref="H31">
    <cfRule type="cellIs" dxfId="179" priority="10" operator="lessThan">
      <formula>0</formula>
    </cfRule>
  </conditionalFormatting>
  <conditionalFormatting sqref="H33">
    <cfRule type="cellIs" dxfId="178" priority="8" operator="lessThan">
      <formula>0</formula>
    </cfRule>
  </conditionalFormatting>
  <conditionalFormatting sqref="H27">
    <cfRule type="cellIs" dxfId="177" priority="12" operator="lessThan">
      <formula>0</formula>
    </cfRule>
  </conditionalFormatting>
  <conditionalFormatting sqref="H29">
    <cfRule type="cellIs" dxfId="176" priority="11" operator="lessThan">
      <formula>0</formula>
    </cfRule>
  </conditionalFormatting>
  <conditionalFormatting sqref="M19:M20">
    <cfRule type="cellIs" dxfId="175" priority="6" operator="lessThan">
      <formula>0</formula>
    </cfRule>
  </conditionalFormatting>
  <conditionalFormatting sqref="K35">
    <cfRule type="cellIs" dxfId="174" priority="5" operator="lessThan">
      <formula>0</formula>
    </cfRule>
  </conditionalFormatting>
  <conditionalFormatting sqref="K18">
    <cfRule type="cellIs" dxfId="173" priority="4" operator="lessThan">
      <formula>0</formula>
    </cfRule>
  </conditionalFormatting>
  <conditionalFormatting sqref="L18">
    <cfRule type="cellIs" dxfId="172" priority="3" operator="lessThan">
      <formula>0</formula>
    </cfRule>
  </conditionalFormatting>
  <conditionalFormatting sqref="K20">
    <cfRule type="cellIs" dxfId="171" priority="1" operator="lessThan">
      <formula>0</formula>
    </cfRule>
  </conditionalFormatting>
  <dataValidations count="4">
    <dataValidation type="whole" allowBlank="1" showInputMessage="1" showErrorMessage="1" sqref="B16">
      <formula1>0</formula1>
      <formula2>100</formula2>
    </dataValidation>
    <dataValidation allowBlank="1" showInputMessage="1" showErrorMessage="1" error="Kultur aus der Dropdown-Liste auswählen. Für fehelnde Kulturen sind derzeit keine N-Bedarfsermittlungen möglich." sqref="A12"/>
    <dataValidation type="date" allowBlank="1" showInputMessage="1" showErrorMessage="1" errorTitle="Datum" error="Sie haben kein Datum eingegeben!" prompt="TT.MM.JJ" sqref="E7">
      <formula1>42795</formula1>
      <formula2>73110</formula2>
    </dataValidation>
    <dataValidation allowBlank="1" showInputMessage="1" showErrorMessage="1" error="Kultur aus der Dropdown-Liste auswählen. Für fehelnde Kulturen sind derzeit keine N-Bedarfsermittlungen möglich." sqref="B11:E11"/>
  </dataValidations>
  <pageMargins left="0.78740157480314965" right="0.39370078740157483" top="0.78740157480314965" bottom="0.19685039370078741" header="0.31496062992125984" footer="0.31496062992125984"/>
  <pageSetup paperSize="9" orientation="portrait" r:id="rId1"/>
  <headerFooter>
    <oddHeader xml:space="preserve">&amp;L&amp;8Dienstleistungszentrum Ländlicher Raum (DLR) - Rheinpfalz, Breitenweg 71, 67435 Neustadt/Weinstraße
Alle Angaben ohne Gewähr. </oddHead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'Boden Bolap'!$AK$3:$AK$5</xm:f>
          </x14:formula1>
          <xm:sqref>E16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2"/>
  <sheetViews>
    <sheetView zoomScaleNormal="100" workbookViewId="0">
      <pane ySplit="1" topLeftCell="A2" activePane="bottomLeft" state="frozen"/>
      <selection pane="bottomLeft" activeCell="N4" sqref="N4"/>
    </sheetView>
  </sheetViews>
  <sheetFormatPr baseColWidth="10" defaultRowHeight="15"/>
  <cols>
    <col min="1" max="1" width="6.85546875" style="104" customWidth="1"/>
    <col min="2" max="3" width="6.85546875" style="105" customWidth="1"/>
    <col min="4" max="4" width="5" style="212" hidden="1" customWidth="1"/>
    <col min="5" max="5" width="5" style="114" hidden="1" customWidth="1"/>
    <col min="6" max="6" width="6.85546875" style="104" customWidth="1"/>
    <col min="7" max="7" width="8.5703125" style="105" customWidth="1"/>
    <col min="8" max="9" width="6.85546875" style="105" customWidth="1"/>
    <col min="10" max="10" width="6.85546875" style="212" customWidth="1"/>
    <col min="11" max="11" width="6.85546875" style="104" customWidth="1"/>
    <col min="12" max="12" width="8.42578125" style="105" customWidth="1"/>
    <col min="13" max="14" width="6.85546875" style="105" customWidth="1"/>
    <col min="15" max="15" width="6.85546875" style="212" customWidth="1"/>
    <col min="16" max="16" width="6.85546875" style="104" customWidth="1"/>
    <col min="17" max="19" width="6.85546875" style="105" customWidth="1"/>
    <col min="20" max="20" width="6.85546875" style="212" customWidth="1"/>
    <col min="21" max="21" width="6.85546875" style="104" customWidth="1"/>
    <col min="22" max="22" width="7.42578125" style="105" customWidth="1"/>
    <col min="23" max="24" width="6.85546875" style="105" customWidth="1"/>
    <col min="25" max="25" width="6.85546875" style="212" customWidth="1"/>
    <col min="26" max="26" width="6.85546875" style="104" customWidth="1"/>
    <col min="27" max="27" width="7.28515625" style="105" customWidth="1"/>
    <col min="28" max="29" width="6.85546875" style="105" customWidth="1"/>
    <col min="30" max="30" width="6.85546875" style="212" customWidth="1"/>
    <col min="31" max="31" width="6.85546875" style="104" customWidth="1"/>
    <col min="32" max="32" width="8.28515625" style="105" customWidth="1"/>
    <col min="33" max="34" width="6.85546875" style="105" customWidth="1"/>
    <col min="35" max="35" width="6.85546875" style="212" customWidth="1"/>
    <col min="36" max="36" width="5" style="105" customWidth="1"/>
    <col min="37" max="37" width="8.5703125" style="105" customWidth="1"/>
    <col min="38" max="256" width="11.42578125" style="105"/>
    <col min="257" max="259" width="6.85546875" style="105" customWidth="1"/>
    <col min="260" max="261" width="0" style="105" hidden="1" customWidth="1"/>
    <col min="262" max="262" width="6.85546875" style="105" customWidth="1"/>
    <col min="263" max="263" width="8.5703125" style="105" customWidth="1"/>
    <col min="264" max="267" width="6.85546875" style="105" customWidth="1"/>
    <col min="268" max="268" width="8.42578125" style="105" customWidth="1"/>
    <col min="269" max="277" width="6.85546875" style="105" customWidth="1"/>
    <col min="278" max="278" width="7.42578125" style="105" customWidth="1"/>
    <col min="279" max="282" width="6.85546875" style="105" customWidth="1"/>
    <col min="283" max="283" width="7.28515625" style="105" customWidth="1"/>
    <col min="284" max="287" width="6.85546875" style="105" customWidth="1"/>
    <col min="288" max="288" width="8.28515625" style="105" customWidth="1"/>
    <col min="289" max="291" width="6.85546875" style="105" customWidth="1"/>
    <col min="292" max="292" width="5" style="105" customWidth="1"/>
    <col min="293" max="293" width="8.5703125" style="105" customWidth="1"/>
    <col min="294" max="512" width="11.42578125" style="105"/>
    <col min="513" max="515" width="6.85546875" style="105" customWidth="1"/>
    <col min="516" max="517" width="0" style="105" hidden="1" customWidth="1"/>
    <col min="518" max="518" width="6.85546875" style="105" customWidth="1"/>
    <col min="519" max="519" width="8.5703125" style="105" customWidth="1"/>
    <col min="520" max="523" width="6.85546875" style="105" customWidth="1"/>
    <col min="524" max="524" width="8.42578125" style="105" customWidth="1"/>
    <col min="525" max="533" width="6.85546875" style="105" customWidth="1"/>
    <col min="534" max="534" width="7.42578125" style="105" customWidth="1"/>
    <col min="535" max="538" width="6.85546875" style="105" customWidth="1"/>
    <col min="539" max="539" width="7.28515625" style="105" customWidth="1"/>
    <col min="540" max="543" width="6.85546875" style="105" customWidth="1"/>
    <col min="544" max="544" width="8.28515625" style="105" customWidth="1"/>
    <col min="545" max="547" width="6.85546875" style="105" customWidth="1"/>
    <col min="548" max="548" width="5" style="105" customWidth="1"/>
    <col min="549" max="549" width="8.5703125" style="105" customWidth="1"/>
    <col min="550" max="768" width="11.42578125" style="105"/>
    <col min="769" max="771" width="6.85546875" style="105" customWidth="1"/>
    <col min="772" max="773" width="0" style="105" hidden="1" customWidth="1"/>
    <col min="774" max="774" width="6.85546875" style="105" customWidth="1"/>
    <col min="775" max="775" width="8.5703125" style="105" customWidth="1"/>
    <col min="776" max="779" width="6.85546875" style="105" customWidth="1"/>
    <col min="780" max="780" width="8.42578125" style="105" customWidth="1"/>
    <col min="781" max="789" width="6.85546875" style="105" customWidth="1"/>
    <col min="790" max="790" width="7.42578125" style="105" customWidth="1"/>
    <col min="791" max="794" width="6.85546875" style="105" customWidth="1"/>
    <col min="795" max="795" width="7.28515625" style="105" customWidth="1"/>
    <col min="796" max="799" width="6.85546875" style="105" customWidth="1"/>
    <col min="800" max="800" width="8.28515625" style="105" customWidth="1"/>
    <col min="801" max="803" width="6.85546875" style="105" customWidth="1"/>
    <col min="804" max="804" width="5" style="105" customWidth="1"/>
    <col min="805" max="805" width="8.5703125" style="105" customWidth="1"/>
    <col min="806" max="1024" width="11.42578125" style="105"/>
    <col min="1025" max="1027" width="6.85546875" style="105" customWidth="1"/>
    <col min="1028" max="1029" width="0" style="105" hidden="1" customWidth="1"/>
    <col min="1030" max="1030" width="6.85546875" style="105" customWidth="1"/>
    <col min="1031" max="1031" width="8.5703125" style="105" customWidth="1"/>
    <col min="1032" max="1035" width="6.85546875" style="105" customWidth="1"/>
    <col min="1036" max="1036" width="8.42578125" style="105" customWidth="1"/>
    <col min="1037" max="1045" width="6.85546875" style="105" customWidth="1"/>
    <col min="1046" max="1046" width="7.42578125" style="105" customWidth="1"/>
    <col min="1047" max="1050" width="6.85546875" style="105" customWidth="1"/>
    <col min="1051" max="1051" width="7.28515625" style="105" customWidth="1"/>
    <col min="1052" max="1055" width="6.85546875" style="105" customWidth="1"/>
    <col min="1056" max="1056" width="8.28515625" style="105" customWidth="1"/>
    <col min="1057" max="1059" width="6.85546875" style="105" customWidth="1"/>
    <col min="1060" max="1060" width="5" style="105" customWidth="1"/>
    <col min="1061" max="1061" width="8.5703125" style="105" customWidth="1"/>
    <col min="1062" max="1280" width="11.42578125" style="105"/>
    <col min="1281" max="1283" width="6.85546875" style="105" customWidth="1"/>
    <col min="1284" max="1285" width="0" style="105" hidden="1" customWidth="1"/>
    <col min="1286" max="1286" width="6.85546875" style="105" customWidth="1"/>
    <col min="1287" max="1287" width="8.5703125" style="105" customWidth="1"/>
    <col min="1288" max="1291" width="6.85546875" style="105" customWidth="1"/>
    <col min="1292" max="1292" width="8.42578125" style="105" customWidth="1"/>
    <col min="1293" max="1301" width="6.85546875" style="105" customWidth="1"/>
    <col min="1302" max="1302" width="7.42578125" style="105" customWidth="1"/>
    <col min="1303" max="1306" width="6.85546875" style="105" customWidth="1"/>
    <col min="1307" max="1307" width="7.28515625" style="105" customWidth="1"/>
    <col min="1308" max="1311" width="6.85546875" style="105" customWidth="1"/>
    <col min="1312" max="1312" width="8.28515625" style="105" customWidth="1"/>
    <col min="1313" max="1315" width="6.85546875" style="105" customWidth="1"/>
    <col min="1316" max="1316" width="5" style="105" customWidth="1"/>
    <col min="1317" max="1317" width="8.5703125" style="105" customWidth="1"/>
    <col min="1318" max="1536" width="11.42578125" style="105"/>
    <col min="1537" max="1539" width="6.85546875" style="105" customWidth="1"/>
    <col min="1540" max="1541" width="0" style="105" hidden="1" customWidth="1"/>
    <col min="1542" max="1542" width="6.85546875" style="105" customWidth="1"/>
    <col min="1543" max="1543" width="8.5703125" style="105" customWidth="1"/>
    <col min="1544" max="1547" width="6.85546875" style="105" customWidth="1"/>
    <col min="1548" max="1548" width="8.42578125" style="105" customWidth="1"/>
    <col min="1549" max="1557" width="6.85546875" style="105" customWidth="1"/>
    <col min="1558" max="1558" width="7.42578125" style="105" customWidth="1"/>
    <col min="1559" max="1562" width="6.85546875" style="105" customWidth="1"/>
    <col min="1563" max="1563" width="7.28515625" style="105" customWidth="1"/>
    <col min="1564" max="1567" width="6.85546875" style="105" customWidth="1"/>
    <col min="1568" max="1568" width="8.28515625" style="105" customWidth="1"/>
    <col min="1569" max="1571" width="6.85546875" style="105" customWidth="1"/>
    <col min="1572" max="1572" width="5" style="105" customWidth="1"/>
    <col min="1573" max="1573" width="8.5703125" style="105" customWidth="1"/>
    <col min="1574" max="1792" width="11.42578125" style="105"/>
    <col min="1793" max="1795" width="6.85546875" style="105" customWidth="1"/>
    <col min="1796" max="1797" width="0" style="105" hidden="1" customWidth="1"/>
    <col min="1798" max="1798" width="6.85546875" style="105" customWidth="1"/>
    <col min="1799" max="1799" width="8.5703125" style="105" customWidth="1"/>
    <col min="1800" max="1803" width="6.85546875" style="105" customWidth="1"/>
    <col min="1804" max="1804" width="8.42578125" style="105" customWidth="1"/>
    <col min="1805" max="1813" width="6.85546875" style="105" customWidth="1"/>
    <col min="1814" max="1814" width="7.42578125" style="105" customWidth="1"/>
    <col min="1815" max="1818" width="6.85546875" style="105" customWidth="1"/>
    <col min="1819" max="1819" width="7.28515625" style="105" customWidth="1"/>
    <col min="1820" max="1823" width="6.85546875" style="105" customWidth="1"/>
    <col min="1824" max="1824" width="8.28515625" style="105" customWidth="1"/>
    <col min="1825" max="1827" width="6.85546875" style="105" customWidth="1"/>
    <col min="1828" max="1828" width="5" style="105" customWidth="1"/>
    <col min="1829" max="1829" width="8.5703125" style="105" customWidth="1"/>
    <col min="1830" max="2048" width="11.42578125" style="105"/>
    <col min="2049" max="2051" width="6.85546875" style="105" customWidth="1"/>
    <col min="2052" max="2053" width="0" style="105" hidden="1" customWidth="1"/>
    <col min="2054" max="2054" width="6.85546875" style="105" customWidth="1"/>
    <col min="2055" max="2055" width="8.5703125" style="105" customWidth="1"/>
    <col min="2056" max="2059" width="6.85546875" style="105" customWidth="1"/>
    <col min="2060" max="2060" width="8.42578125" style="105" customWidth="1"/>
    <col min="2061" max="2069" width="6.85546875" style="105" customWidth="1"/>
    <col min="2070" max="2070" width="7.42578125" style="105" customWidth="1"/>
    <col min="2071" max="2074" width="6.85546875" style="105" customWidth="1"/>
    <col min="2075" max="2075" width="7.28515625" style="105" customWidth="1"/>
    <col min="2076" max="2079" width="6.85546875" style="105" customWidth="1"/>
    <col min="2080" max="2080" width="8.28515625" style="105" customWidth="1"/>
    <col min="2081" max="2083" width="6.85546875" style="105" customWidth="1"/>
    <col min="2084" max="2084" width="5" style="105" customWidth="1"/>
    <col min="2085" max="2085" width="8.5703125" style="105" customWidth="1"/>
    <col min="2086" max="2304" width="11.42578125" style="105"/>
    <col min="2305" max="2307" width="6.85546875" style="105" customWidth="1"/>
    <col min="2308" max="2309" width="0" style="105" hidden="1" customWidth="1"/>
    <col min="2310" max="2310" width="6.85546875" style="105" customWidth="1"/>
    <col min="2311" max="2311" width="8.5703125" style="105" customWidth="1"/>
    <col min="2312" max="2315" width="6.85546875" style="105" customWidth="1"/>
    <col min="2316" max="2316" width="8.42578125" style="105" customWidth="1"/>
    <col min="2317" max="2325" width="6.85546875" style="105" customWidth="1"/>
    <col min="2326" max="2326" width="7.42578125" style="105" customWidth="1"/>
    <col min="2327" max="2330" width="6.85546875" style="105" customWidth="1"/>
    <col min="2331" max="2331" width="7.28515625" style="105" customWidth="1"/>
    <col min="2332" max="2335" width="6.85546875" style="105" customWidth="1"/>
    <col min="2336" max="2336" width="8.28515625" style="105" customWidth="1"/>
    <col min="2337" max="2339" width="6.85546875" style="105" customWidth="1"/>
    <col min="2340" max="2340" width="5" style="105" customWidth="1"/>
    <col min="2341" max="2341" width="8.5703125" style="105" customWidth="1"/>
    <col min="2342" max="2560" width="11.42578125" style="105"/>
    <col min="2561" max="2563" width="6.85546875" style="105" customWidth="1"/>
    <col min="2564" max="2565" width="0" style="105" hidden="1" customWidth="1"/>
    <col min="2566" max="2566" width="6.85546875" style="105" customWidth="1"/>
    <col min="2567" max="2567" width="8.5703125" style="105" customWidth="1"/>
    <col min="2568" max="2571" width="6.85546875" style="105" customWidth="1"/>
    <col min="2572" max="2572" width="8.42578125" style="105" customWidth="1"/>
    <col min="2573" max="2581" width="6.85546875" style="105" customWidth="1"/>
    <col min="2582" max="2582" width="7.42578125" style="105" customWidth="1"/>
    <col min="2583" max="2586" width="6.85546875" style="105" customWidth="1"/>
    <col min="2587" max="2587" width="7.28515625" style="105" customWidth="1"/>
    <col min="2588" max="2591" width="6.85546875" style="105" customWidth="1"/>
    <col min="2592" max="2592" width="8.28515625" style="105" customWidth="1"/>
    <col min="2593" max="2595" width="6.85546875" style="105" customWidth="1"/>
    <col min="2596" max="2596" width="5" style="105" customWidth="1"/>
    <col min="2597" max="2597" width="8.5703125" style="105" customWidth="1"/>
    <col min="2598" max="2816" width="11.42578125" style="105"/>
    <col min="2817" max="2819" width="6.85546875" style="105" customWidth="1"/>
    <col min="2820" max="2821" width="0" style="105" hidden="1" customWidth="1"/>
    <col min="2822" max="2822" width="6.85546875" style="105" customWidth="1"/>
    <col min="2823" max="2823" width="8.5703125" style="105" customWidth="1"/>
    <col min="2824" max="2827" width="6.85546875" style="105" customWidth="1"/>
    <col min="2828" max="2828" width="8.42578125" style="105" customWidth="1"/>
    <col min="2829" max="2837" width="6.85546875" style="105" customWidth="1"/>
    <col min="2838" max="2838" width="7.42578125" style="105" customWidth="1"/>
    <col min="2839" max="2842" width="6.85546875" style="105" customWidth="1"/>
    <col min="2843" max="2843" width="7.28515625" style="105" customWidth="1"/>
    <col min="2844" max="2847" width="6.85546875" style="105" customWidth="1"/>
    <col min="2848" max="2848" width="8.28515625" style="105" customWidth="1"/>
    <col min="2849" max="2851" width="6.85546875" style="105" customWidth="1"/>
    <col min="2852" max="2852" width="5" style="105" customWidth="1"/>
    <col min="2853" max="2853" width="8.5703125" style="105" customWidth="1"/>
    <col min="2854" max="3072" width="11.42578125" style="105"/>
    <col min="3073" max="3075" width="6.85546875" style="105" customWidth="1"/>
    <col min="3076" max="3077" width="0" style="105" hidden="1" customWidth="1"/>
    <col min="3078" max="3078" width="6.85546875" style="105" customWidth="1"/>
    <col min="3079" max="3079" width="8.5703125" style="105" customWidth="1"/>
    <col min="3080" max="3083" width="6.85546875" style="105" customWidth="1"/>
    <col min="3084" max="3084" width="8.42578125" style="105" customWidth="1"/>
    <col min="3085" max="3093" width="6.85546875" style="105" customWidth="1"/>
    <col min="3094" max="3094" width="7.42578125" style="105" customWidth="1"/>
    <col min="3095" max="3098" width="6.85546875" style="105" customWidth="1"/>
    <col min="3099" max="3099" width="7.28515625" style="105" customWidth="1"/>
    <col min="3100" max="3103" width="6.85546875" style="105" customWidth="1"/>
    <col min="3104" max="3104" width="8.28515625" style="105" customWidth="1"/>
    <col min="3105" max="3107" width="6.85546875" style="105" customWidth="1"/>
    <col min="3108" max="3108" width="5" style="105" customWidth="1"/>
    <col min="3109" max="3109" width="8.5703125" style="105" customWidth="1"/>
    <col min="3110" max="3328" width="11.42578125" style="105"/>
    <col min="3329" max="3331" width="6.85546875" style="105" customWidth="1"/>
    <col min="3332" max="3333" width="0" style="105" hidden="1" customWidth="1"/>
    <col min="3334" max="3334" width="6.85546875" style="105" customWidth="1"/>
    <col min="3335" max="3335" width="8.5703125" style="105" customWidth="1"/>
    <col min="3336" max="3339" width="6.85546875" style="105" customWidth="1"/>
    <col min="3340" max="3340" width="8.42578125" style="105" customWidth="1"/>
    <col min="3341" max="3349" width="6.85546875" style="105" customWidth="1"/>
    <col min="3350" max="3350" width="7.42578125" style="105" customWidth="1"/>
    <col min="3351" max="3354" width="6.85546875" style="105" customWidth="1"/>
    <col min="3355" max="3355" width="7.28515625" style="105" customWidth="1"/>
    <col min="3356" max="3359" width="6.85546875" style="105" customWidth="1"/>
    <col min="3360" max="3360" width="8.28515625" style="105" customWidth="1"/>
    <col min="3361" max="3363" width="6.85546875" style="105" customWidth="1"/>
    <col min="3364" max="3364" width="5" style="105" customWidth="1"/>
    <col min="3365" max="3365" width="8.5703125" style="105" customWidth="1"/>
    <col min="3366" max="3584" width="11.42578125" style="105"/>
    <col min="3585" max="3587" width="6.85546875" style="105" customWidth="1"/>
    <col min="3588" max="3589" width="0" style="105" hidden="1" customWidth="1"/>
    <col min="3590" max="3590" width="6.85546875" style="105" customWidth="1"/>
    <col min="3591" max="3591" width="8.5703125" style="105" customWidth="1"/>
    <col min="3592" max="3595" width="6.85546875" style="105" customWidth="1"/>
    <col min="3596" max="3596" width="8.42578125" style="105" customWidth="1"/>
    <col min="3597" max="3605" width="6.85546875" style="105" customWidth="1"/>
    <col min="3606" max="3606" width="7.42578125" style="105" customWidth="1"/>
    <col min="3607" max="3610" width="6.85546875" style="105" customWidth="1"/>
    <col min="3611" max="3611" width="7.28515625" style="105" customWidth="1"/>
    <col min="3612" max="3615" width="6.85546875" style="105" customWidth="1"/>
    <col min="3616" max="3616" width="8.28515625" style="105" customWidth="1"/>
    <col min="3617" max="3619" width="6.85546875" style="105" customWidth="1"/>
    <col min="3620" max="3620" width="5" style="105" customWidth="1"/>
    <col min="3621" max="3621" width="8.5703125" style="105" customWidth="1"/>
    <col min="3622" max="3840" width="11.42578125" style="105"/>
    <col min="3841" max="3843" width="6.85546875" style="105" customWidth="1"/>
    <col min="3844" max="3845" width="0" style="105" hidden="1" customWidth="1"/>
    <col min="3846" max="3846" width="6.85546875" style="105" customWidth="1"/>
    <col min="3847" max="3847" width="8.5703125" style="105" customWidth="1"/>
    <col min="3848" max="3851" width="6.85546875" style="105" customWidth="1"/>
    <col min="3852" max="3852" width="8.42578125" style="105" customWidth="1"/>
    <col min="3853" max="3861" width="6.85546875" style="105" customWidth="1"/>
    <col min="3862" max="3862" width="7.42578125" style="105" customWidth="1"/>
    <col min="3863" max="3866" width="6.85546875" style="105" customWidth="1"/>
    <col min="3867" max="3867" width="7.28515625" style="105" customWidth="1"/>
    <col min="3868" max="3871" width="6.85546875" style="105" customWidth="1"/>
    <col min="3872" max="3872" width="8.28515625" style="105" customWidth="1"/>
    <col min="3873" max="3875" width="6.85546875" style="105" customWidth="1"/>
    <col min="3876" max="3876" width="5" style="105" customWidth="1"/>
    <col min="3877" max="3877" width="8.5703125" style="105" customWidth="1"/>
    <col min="3878" max="4096" width="11.42578125" style="105"/>
    <col min="4097" max="4099" width="6.85546875" style="105" customWidth="1"/>
    <col min="4100" max="4101" width="0" style="105" hidden="1" customWidth="1"/>
    <col min="4102" max="4102" width="6.85546875" style="105" customWidth="1"/>
    <col min="4103" max="4103" width="8.5703125" style="105" customWidth="1"/>
    <col min="4104" max="4107" width="6.85546875" style="105" customWidth="1"/>
    <col min="4108" max="4108" width="8.42578125" style="105" customWidth="1"/>
    <col min="4109" max="4117" width="6.85546875" style="105" customWidth="1"/>
    <col min="4118" max="4118" width="7.42578125" style="105" customWidth="1"/>
    <col min="4119" max="4122" width="6.85546875" style="105" customWidth="1"/>
    <col min="4123" max="4123" width="7.28515625" style="105" customWidth="1"/>
    <col min="4124" max="4127" width="6.85546875" style="105" customWidth="1"/>
    <col min="4128" max="4128" width="8.28515625" style="105" customWidth="1"/>
    <col min="4129" max="4131" width="6.85546875" style="105" customWidth="1"/>
    <col min="4132" max="4132" width="5" style="105" customWidth="1"/>
    <col min="4133" max="4133" width="8.5703125" style="105" customWidth="1"/>
    <col min="4134" max="4352" width="11.42578125" style="105"/>
    <col min="4353" max="4355" width="6.85546875" style="105" customWidth="1"/>
    <col min="4356" max="4357" width="0" style="105" hidden="1" customWidth="1"/>
    <col min="4358" max="4358" width="6.85546875" style="105" customWidth="1"/>
    <col min="4359" max="4359" width="8.5703125" style="105" customWidth="1"/>
    <col min="4360" max="4363" width="6.85546875" style="105" customWidth="1"/>
    <col min="4364" max="4364" width="8.42578125" style="105" customWidth="1"/>
    <col min="4365" max="4373" width="6.85546875" style="105" customWidth="1"/>
    <col min="4374" max="4374" width="7.42578125" style="105" customWidth="1"/>
    <col min="4375" max="4378" width="6.85546875" style="105" customWidth="1"/>
    <col min="4379" max="4379" width="7.28515625" style="105" customWidth="1"/>
    <col min="4380" max="4383" width="6.85546875" style="105" customWidth="1"/>
    <col min="4384" max="4384" width="8.28515625" style="105" customWidth="1"/>
    <col min="4385" max="4387" width="6.85546875" style="105" customWidth="1"/>
    <col min="4388" max="4388" width="5" style="105" customWidth="1"/>
    <col min="4389" max="4389" width="8.5703125" style="105" customWidth="1"/>
    <col min="4390" max="4608" width="11.42578125" style="105"/>
    <col min="4609" max="4611" width="6.85546875" style="105" customWidth="1"/>
    <col min="4612" max="4613" width="0" style="105" hidden="1" customWidth="1"/>
    <col min="4614" max="4614" width="6.85546875" style="105" customWidth="1"/>
    <col min="4615" max="4615" width="8.5703125" style="105" customWidth="1"/>
    <col min="4616" max="4619" width="6.85546875" style="105" customWidth="1"/>
    <col min="4620" max="4620" width="8.42578125" style="105" customWidth="1"/>
    <col min="4621" max="4629" width="6.85546875" style="105" customWidth="1"/>
    <col min="4630" max="4630" width="7.42578125" style="105" customWidth="1"/>
    <col min="4631" max="4634" width="6.85546875" style="105" customWidth="1"/>
    <col min="4635" max="4635" width="7.28515625" style="105" customWidth="1"/>
    <col min="4636" max="4639" width="6.85546875" style="105" customWidth="1"/>
    <col min="4640" max="4640" width="8.28515625" style="105" customWidth="1"/>
    <col min="4641" max="4643" width="6.85546875" style="105" customWidth="1"/>
    <col min="4644" max="4644" width="5" style="105" customWidth="1"/>
    <col min="4645" max="4645" width="8.5703125" style="105" customWidth="1"/>
    <col min="4646" max="4864" width="11.42578125" style="105"/>
    <col min="4865" max="4867" width="6.85546875" style="105" customWidth="1"/>
    <col min="4868" max="4869" width="0" style="105" hidden="1" customWidth="1"/>
    <col min="4870" max="4870" width="6.85546875" style="105" customWidth="1"/>
    <col min="4871" max="4871" width="8.5703125" style="105" customWidth="1"/>
    <col min="4872" max="4875" width="6.85546875" style="105" customWidth="1"/>
    <col min="4876" max="4876" width="8.42578125" style="105" customWidth="1"/>
    <col min="4877" max="4885" width="6.85546875" style="105" customWidth="1"/>
    <col min="4886" max="4886" width="7.42578125" style="105" customWidth="1"/>
    <col min="4887" max="4890" width="6.85546875" style="105" customWidth="1"/>
    <col min="4891" max="4891" width="7.28515625" style="105" customWidth="1"/>
    <col min="4892" max="4895" width="6.85546875" style="105" customWidth="1"/>
    <col min="4896" max="4896" width="8.28515625" style="105" customWidth="1"/>
    <col min="4897" max="4899" width="6.85546875" style="105" customWidth="1"/>
    <col min="4900" max="4900" width="5" style="105" customWidth="1"/>
    <col min="4901" max="4901" width="8.5703125" style="105" customWidth="1"/>
    <col min="4902" max="5120" width="11.42578125" style="105"/>
    <col min="5121" max="5123" width="6.85546875" style="105" customWidth="1"/>
    <col min="5124" max="5125" width="0" style="105" hidden="1" customWidth="1"/>
    <col min="5126" max="5126" width="6.85546875" style="105" customWidth="1"/>
    <col min="5127" max="5127" width="8.5703125" style="105" customWidth="1"/>
    <col min="5128" max="5131" width="6.85546875" style="105" customWidth="1"/>
    <col min="5132" max="5132" width="8.42578125" style="105" customWidth="1"/>
    <col min="5133" max="5141" width="6.85546875" style="105" customWidth="1"/>
    <col min="5142" max="5142" width="7.42578125" style="105" customWidth="1"/>
    <col min="5143" max="5146" width="6.85546875" style="105" customWidth="1"/>
    <col min="5147" max="5147" width="7.28515625" style="105" customWidth="1"/>
    <col min="5148" max="5151" width="6.85546875" style="105" customWidth="1"/>
    <col min="5152" max="5152" width="8.28515625" style="105" customWidth="1"/>
    <col min="5153" max="5155" width="6.85546875" style="105" customWidth="1"/>
    <col min="5156" max="5156" width="5" style="105" customWidth="1"/>
    <col min="5157" max="5157" width="8.5703125" style="105" customWidth="1"/>
    <col min="5158" max="5376" width="11.42578125" style="105"/>
    <col min="5377" max="5379" width="6.85546875" style="105" customWidth="1"/>
    <col min="5380" max="5381" width="0" style="105" hidden="1" customWidth="1"/>
    <col min="5382" max="5382" width="6.85546875" style="105" customWidth="1"/>
    <col min="5383" max="5383" width="8.5703125" style="105" customWidth="1"/>
    <col min="5384" max="5387" width="6.85546875" style="105" customWidth="1"/>
    <col min="5388" max="5388" width="8.42578125" style="105" customWidth="1"/>
    <col min="5389" max="5397" width="6.85546875" style="105" customWidth="1"/>
    <col min="5398" max="5398" width="7.42578125" style="105" customWidth="1"/>
    <col min="5399" max="5402" width="6.85546875" style="105" customWidth="1"/>
    <col min="5403" max="5403" width="7.28515625" style="105" customWidth="1"/>
    <col min="5404" max="5407" width="6.85546875" style="105" customWidth="1"/>
    <col min="5408" max="5408" width="8.28515625" style="105" customWidth="1"/>
    <col min="5409" max="5411" width="6.85546875" style="105" customWidth="1"/>
    <col min="5412" max="5412" width="5" style="105" customWidth="1"/>
    <col min="5413" max="5413" width="8.5703125" style="105" customWidth="1"/>
    <col min="5414" max="5632" width="11.42578125" style="105"/>
    <col min="5633" max="5635" width="6.85546875" style="105" customWidth="1"/>
    <col min="5636" max="5637" width="0" style="105" hidden="1" customWidth="1"/>
    <col min="5638" max="5638" width="6.85546875" style="105" customWidth="1"/>
    <col min="5639" max="5639" width="8.5703125" style="105" customWidth="1"/>
    <col min="5640" max="5643" width="6.85546875" style="105" customWidth="1"/>
    <col min="5644" max="5644" width="8.42578125" style="105" customWidth="1"/>
    <col min="5645" max="5653" width="6.85546875" style="105" customWidth="1"/>
    <col min="5654" max="5654" width="7.42578125" style="105" customWidth="1"/>
    <col min="5655" max="5658" width="6.85546875" style="105" customWidth="1"/>
    <col min="5659" max="5659" width="7.28515625" style="105" customWidth="1"/>
    <col min="5660" max="5663" width="6.85546875" style="105" customWidth="1"/>
    <col min="5664" max="5664" width="8.28515625" style="105" customWidth="1"/>
    <col min="5665" max="5667" width="6.85546875" style="105" customWidth="1"/>
    <col min="5668" max="5668" width="5" style="105" customWidth="1"/>
    <col min="5669" max="5669" width="8.5703125" style="105" customWidth="1"/>
    <col min="5670" max="5888" width="11.42578125" style="105"/>
    <col min="5889" max="5891" width="6.85546875" style="105" customWidth="1"/>
    <col min="5892" max="5893" width="0" style="105" hidden="1" customWidth="1"/>
    <col min="5894" max="5894" width="6.85546875" style="105" customWidth="1"/>
    <col min="5895" max="5895" width="8.5703125" style="105" customWidth="1"/>
    <col min="5896" max="5899" width="6.85546875" style="105" customWidth="1"/>
    <col min="5900" max="5900" width="8.42578125" style="105" customWidth="1"/>
    <col min="5901" max="5909" width="6.85546875" style="105" customWidth="1"/>
    <col min="5910" max="5910" width="7.42578125" style="105" customWidth="1"/>
    <col min="5911" max="5914" width="6.85546875" style="105" customWidth="1"/>
    <col min="5915" max="5915" width="7.28515625" style="105" customWidth="1"/>
    <col min="5916" max="5919" width="6.85546875" style="105" customWidth="1"/>
    <col min="5920" max="5920" width="8.28515625" style="105" customWidth="1"/>
    <col min="5921" max="5923" width="6.85546875" style="105" customWidth="1"/>
    <col min="5924" max="5924" width="5" style="105" customWidth="1"/>
    <col min="5925" max="5925" width="8.5703125" style="105" customWidth="1"/>
    <col min="5926" max="6144" width="11.42578125" style="105"/>
    <col min="6145" max="6147" width="6.85546875" style="105" customWidth="1"/>
    <col min="6148" max="6149" width="0" style="105" hidden="1" customWidth="1"/>
    <col min="6150" max="6150" width="6.85546875" style="105" customWidth="1"/>
    <col min="6151" max="6151" width="8.5703125" style="105" customWidth="1"/>
    <col min="6152" max="6155" width="6.85546875" style="105" customWidth="1"/>
    <col min="6156" max="6156" width="8.42578125" style="105" customWidth="1"/>
    <col min="6157" max="6165" width="6.85546875" style="105" customWidth="1"/>
    <col min="6166" max="6166" width="7.42578125" style="105" customWidth="1"/>
    <col min="6167" max="6170" width="6.85546875" style="105" customWidth="1"/>
    <col min="6171" max="6171" width="7.28515625" style="105" customWidth="1"/>
    <col min="6172" max="6175" width="6.85546875" style="105" customWidth="1"/>
    <col min="6176" max="6176" width="8.28515625" style="105" customWidth="1"/>
    <col min="6177" max="6179" width="6.85546875" style="105" customWidth="1"/>
    <col min="6180" max="6180" width="5" style="105" customWidth="1"/>
    <col min="6181" max="6181" width="8.5703125" style="105" customWidth="1"/>
    <col min="6182" max="6400" width="11.42578125" style="105"/>
    <col min="6401" max="6403" width="6.85546875" style="105" customWidth="1"/>
    <col min="6404" max="6405" width="0" style="105" hidden="1" customWidth="1"/>
    <col min="6406" max="6406" width="6.85546875" style="105" customWidth="1"/>
    <col min="6407" max="6407" width="8.5703125" style="105" customWidth="1"/>
    <col min="6408" max="6411" width="6.85546875" style="105" customWidth="1"/>
    <col min="6412" max="6412" width="8.42578125" style="105" customWidth="1"/>
    <col min="6413" max="6421" width="6.85546875" style="105" customWidth="1"/>
    <col min="6422" max="6422" width="7.42578125" style="105" customWidth="1"/>
    <col min="6423" max="6426" width="6.85546875" style="105" customWidth="1"/>
    <col min="6427" max="6427" width="7.28515625" style="105" customWidth="1"/>
    <col min="6428" max="6431" width="6.85546875" style="105" customWidth="1"/>
    <col min="6432" max="6432" width="8.28515625" style="105" customWidth="1"/>
    <col min="6433" max="6435" width="6.85546875" style="105" customWidth="1"/>
    <col min="6436" max="6436" width="5" style="105" customWidth="1"/>
    <col min="6437" max="6437" width="8.5703125" style="105" customWidth="1"/>
    <col min="6438" max="6656" width="11.42578125" style="105"/>
    <col min="6657" max="6659" width="6.85546875" style="105" customWidth="1"/>
    <col min="6660" max="6661" width="0" style="105" hidden="1" customWidth="1"/>
    <col min="6662" max="6662" width="6.85546875" style="105" customWidth="1"/>
    <col min="6663" max="6663" width="8.5703125" style="105" customWidth="1"/>
    <col min="6664" max="6667" width="6.85546875" style="105" customWidth="1"/>
    <col min="6668" max="6668" width="8.42578125" style="105" customWidth="1"/>
    <col min="6669" max="6677" width="6.85546875" style="105" customWidth="1"/>
    <col min="6678" max="6678" width="7.42578125" style="105" customWidth="1"/>
    <col min="6679" max="6682" width="6.85546875" style="105" customWidth="1"/>
    <col min="6683" max="6683" width="7.28515625" style="105" customWidth="1"/>
    <col min="6684" max="6687" width="6.85546875" style="105" customWidth="1"/>
    <col min="6688" max="6688" width="8.28515625" style="105" customWidth="1"/>
    <col min="6689" max="6691" width="6.85546875" style="105" customWidth="1"/>
    <col min="6692" max="6692" width="5" style="105" customWidth="1"/>
    <col min="6693" max="6693" width="8.5703125" style="105" customWidth="1"/>
    <col min="6694" max="6912" width="11.42578125" style="105"/>
    <col min="6913" max="6915" width="6.85546875" style="105" customWidth="1"/>
    <col min="6916" max="6917" width="0" style="105" hidden="1" customWidth="1"/>
    <col min="6918" max="6918" width="6.85546875" style="105" customWidth="1"/>
    <col min="6919" max="6919" width="8.5703125" style="105" customWidth="1"/>
    <col min="6920" max="6923" width="6.85546875" style="105" customWidth="1"/>
    <col min="6924" max="6924" width="8.42578125" style="105" customWidth="1"/>
    <col min="6925" max="6933" width="6.85546875" style="105" customWidth="1"/>
    <col min="6934" max="6934" width="7.42578125" style="105" customWidth="1"/>
    <col min="6935" max="6938" width="6.85546875" style="105" customWidth="1"/>
    <col min="6939" max="6939" width="7.28515625" style="105" customWidth="1"/>
    <col min="6940" max="6943" width="6.85546875" style="105" customWidth="1"/>
    <col min="6944" max="6944" width="8.28515625" style="105" customWidth="1"/>
    <col min="6945" max="6947" width="6.85546875" style="105" customWidth="1"/>
    <col min="6948" max="6948" width="5" style="105" customWidth="1"/>
    <col min="6949" max="6949" width="8.5703125" style="105" customWidth="1"/>
    <col min="6950" max="7168" width="11.42578125" style="105"/>
    <col min="7169" max="7171" width="6.85546875" style="105" customWidth="1"/>
    <col min="7172" max="7173" width="0" style="105" hidden="1" customWidth="1"/>
    <col min="7174" max="7174" width="6.85546875" style="105" customWidth="1"/>
    <col min="7175" max="7175" width="8.5703125" style="105" customWidth="1"/>
    <col min="7176" max="7179" width="6.85546875" style="105" customWidth="1"/>
    <col min="7180" max="7180" width="8.42578125" style="105" customWidth="1"/>
    <col min="7181" max="7189" width="6.85546875" style="105" customWidth="1"/>
    <col min="7190" max="7190" width="7.42578125" style="105" customWidth="1"/>
    <col min="7191" max="7194" width="6.85546875" style="105" customWidth="1"/>
    <col min="7195" max="7195" width="7.28515625" style="105" customWidth="1"/>
    <col min="7196" max="7199" width="6.85546875" style="105" customWidth="1"/>
    <col min="7200" max="7200" width="8.28515625" style="105" customWidth="1"/>
    <col min="7201" max="7203" width="6.85546875" style="105" customWidth="1"/>
    <col min="7204" max="7204" width="5" style="105" customWidth="1"/>
    <col min="7205" max="7205" width="8.5703125" style="105" customWidth="1"/>
    <col min="7206" max="7424" width="11.42578125" style="105"/>
    <col min="7425" max="7427" width="6.85546875" style="105" customWidth="1"/>
    <col min="7428" max="7429" width="0" style="105" hidden="1" customWidth="1"/>
    <col min="7430" max="7430" width="6.85546875" style="105" customWidth="1"/>
    <col min="7431" max="7431" width="8.5703125" style="105" customWidth="1"/>
    <col min="7432" max="7435" width="6.85546875" style="105" customWidth="1"/>
    <col min="7436" max="7436" width="8.42578125" style="105" customWidth="1"/>
    <col min="7437" max="7445" width="6.85546875" style="105" customWidth="1"/>
    <col min="7446" max="7446" width="7.42578125" style="105" customWidth="1"/>
    <col min="7447" max="7450" width="6.85546875" style="105" customWidth="1"/>
    <col min="7451" max="7451" width="7.28515625" style="105" customWidth="1"/>
    <col min="7452" max="7455" width="6.85546875" style="105" customWidth="1"/>
    <col min="7456" max="7456" width="8.28515625" style="105" customWidth="1"/>
    <col min="7457" max="7459" width="6.85546875" style="105" customWidth="1"/>
    <col min="7460" max="7460" width="5" style="105" customWidth="1"/>
    <col min="7461" max="7461" width="8.5703125" style="105" customWidth="1"/>
    <col min="7462" max="7680" width="11.42578125" style="105"/>
    <col min="7681" max="7683" width="6.85546875" style="105" customWidth="1"/>
    <col min="7684" max="7685" width="0" style="105" hidden="1" customWidth="1"/>
    <col min="7686" max="7686" width="6.85546875" style="105" customWidth="1"/>
    <col min="7687" max="7687" width="8.5703125" style="105" customWidth="1"/>
    <col min="7688" max="7691" width="6.85546875" style="105" customWidth="1"/>
    <col min="7692" max="7692" width="8.42578125" style="105" customWidth="1"/>
    <col min="7693" max="7701" width="6.85546875" style="105" customWidth="1"/>
    <col min="7702" max="7702" width="7.42578125" style="105" customWidth="1"/>
    <col min="7703" max="7706" width="6.85546875" style="105" customWidth="1"/>
    <col min="7707" max="7707" width="7.28515625" style="105" customWidth="1"/>
    <col min="7708" max="7711" width="6.85546875" style="105" customWidth="1"/>
    <col min="7712" max="7712" width="8.28515625" style="105" customWidth="1"/>
    <col min="7713" max="7715" width="6.85546875" style="105" customWidth="1"/>
    <col min="7716" max="7716" width="5" style="105" customWidth="1"/>
    <col min="7717" max="7717" width="8.5703125" style="105" customWidth="1"/>
    <col min="7718" max="7936" width="11.42578125" style="105"/>
    <col min="7937" max="7939" width="6.85546875" style="105" customWidth="1"/>
    <col min="7940" max="7941" width="0" style="105" hidden="1" customWidth="1"/>
    <col min="7942" max="7942" width="6.85546875" style="105" customWidth="1"/>
    <col min="7943" max="7943" width="8.5703125" style="105" customWidth="1"/>
    <col min="7944" max="7947" width="6.85546875" style="105" customWidth="1"/>
    <col min="7948" max="7948" width="8.42578125" style="105" customWidth="1"/>
    <col min="7949" max="7957" width="6.85546875" style="105" customWidth="1"/>
    <col min="7958" max="7958" width="7.42578125" style="105" customWidth="1"/>
    <col min="7959" max="7962" width="6.85546875" style="105" customWidth="1"/>
    <col min="7963" max="7963" width="7.28515625" style="105" customWidth="1"/>
    <col min="7964" max="7967" width="6.85546875" style="105" customWidth="1"/>
    <col min="7968" max="7968" width="8.28515625" style="105" customWidth="1"/>
    <col min="7969" max="7971" width="6.85546875" style="105" customWidth="1"/>
    <col min="7972" max="7972" width="5" style="105" customWidth="1"/>
    <col min="7973" max="7973" width="8.5703125" style="105" customWidth="1"/>
    <col min="7974" max="8192" width="11.42578125" style="105"/>
    <col min="8193" max="8195" width="6.85546875" style="105" customWidth="1"/>
    <col min="8196" max="8197" width="0" style="105" hidden="1" customWidth="1"/>
    <col min="8198" max="8198" width="6.85546875" style="105" customWidth="1"/>
    <col min="8199" max="8199" width="8.5703125" style="105" customWidth="1"/>
    <col min="8200" max="8203" width="6.85546875" style="105" customWidth="1"/>
    <col min="8204" max="8204" width="8.42578125" style="105" customWidth="1"/>
    <col min="8205" max="8213" width="6.85546875" style="105" customWidth="1"/>
    <col min="8214" max="8214" width="7.42578125" style="105" customWidth="1"/>
    <col min="8215" max="8218" width="6.85546875" style="105" customWidth="1"/>
    <col min="8219" max="8219" width="7.28515625" style="105" customWidth="1"/>
    <col min="8220" max="8223" width="6.85546875" style="105" customWidth="1"/>
    <col min="8224" max="8224" width="8.28515625" style="105" customWidth="1"/>
    <col min="8225" max="8227" width="6.85546875" style="105" customWidth="1"/>
    <col min="8228" max="8228" width="5" style="105" customWidth="1"/>
    <col min="8229" max="8229" width="8.5703125" style="105" customWidth="1"/>
    <col min="8230" max="8448" width="11.42578125" style="105"/>
    <col min="8449" max="8451" width="6.85546875" style="105" customWidth="1"/>
    <col min="8452" max="8453" width="0" style="105" hidden="1" customWidth="1"/>
    <col min="8454" max="8454" width="6.85546875" style="105" customWidth="1"/>
    <col min="8455" max="8455" width="8.5703125" style="105" customWidth="1"/>
    <col min="8456" max="8459" width="6.85546875" style="105" customWidth="1"/>
    <col min="8460" max="8460" width="8.42578125" style="105" customWidth="1"/>
    <col min="8461" max="8469" width="6.85546875" style="105" customWidth="1"/>
    <col min="8470" max="8470" width="7.42578125" style="105" customWidth="1"/>
    <col min="8471" max="8474" width="6.85546875" style="105" customWidth="1"/>
    <col min="8475" max="8475" width="7.28515625" style="105" customWidth="1"/>
    <col min="8476" max="8479" width="6.85546875" style="105" customWidth="1"/>
    <col min="8480" max="8480" width="8.28515625" style="105" customWidth="1"/>
    <col min="8481" max="8483" width="6.85546875" style="105" customWidth="1"/>
    <col min="8484" max="8484" width="5" style="105" customWidth="1"/>
    <col min="8485" max="8485" width="8.5703125" style="105" customWidth="1"/>
    <col min="8486" max="8704" width="11.42578125" style="105"/>
    <col min="8705" max="8707" width="6.85546875" style="105" customWidth="1"/>
    <col min="8708" max="8709" width="0" style="105" hidden="1" customWidth="1"/>
    <col min="8710" max="8710" width="6.85546875" style="105" customWidth="1"/>
    <col min="8711" max="8711" width="8.5703125" style="105" customWidth="1"/>
    <col min="8712" max="8715" width="6.85546875" style="105" customWidth="1"/>
    <col min="8716" max="8716" width="8.42578125" style="105" customWidth="1"/>
    <col min="8717" max="8725" width="6.85546875" style="105" customWidth="1"/>
    <col min="8726" max="8726" width="7.42578125" style="105" customWidth="1"/>
    <col min="8727" max="8730" width="6.85546875" style="105" customWidth="1"/>
    <col min="8731" max="8731" width="7.28515625" style="105" customWidth="1"/>
    <col min="8732" max="8735" width="6.85546875" style="105" customWidth="1"/>
    <col min="8736" max="8736" width="8.28515625" style="105" customWidth="1"/>
    <col min="8737" max="8739" width="6.85546875" style="105" customWidth="1"/>
    <col min="8740" max="8740" width="5" style="105" customWidth="1"/>
    <col min="8741" max="8741" width="8.5703125" style="105" customWidth="1"/>
    <col min="8742" max="8960" width="11.42578125" style="105"/>
    <col min="8961" max="8963" width="6.85546875" style="105" customWidth="1"/>
    <col min="8964" max="8965" width="0" style="105" hidden="1" customWidth="1"/>
    <col min="8966" max="8966" width="6.85546875" style="105" customWidth="1"/>
    <col min="8967" max="8967" width="8.5703125" style="105" customWidth="1"/>
    <col min="8968" max="8971" width="6.85546875" style="105" customWidth="1"/>
    <col min="8972" max="8972" width="8.42578125" style="105" customWidth="1"/>
    <col min="8973" max="8981" width="6.85546875" style="105" customWidth="1"/>
    <col min="8982" max="8982" width="7.42578125" style="105" customWidth="1"/>
    <col min="8983" max="8986" width="6.85546875" style="105" customWidth="1"/>
    <col min="8987" max="8987" width="7.28515625" style="105" customWidth="1"/>
    <col min="8988" max="8991" width="6.85546875" style="105" customWidth="1"/>
    <col min="8992" max="8992" width="8.28515625" style="105" customWidth="1"/>
    <col min="8993" max="8995" width="6.85546875" style="105" customWidth="1"/>
    <col min="8996" max="8996" width="5" style="105" customWidth="1"/>
    <col min="8997" max="8997" width="8.5703125" style="105" customWidth="1"/>
    <col min="8998" max="9216" width="11.42578125" style="105"/>
    <col min="9217" max="9219" width="6.85546875" style="105" customWidth="1"/>
    <col min="9220" max="9221" width="0" style="105" hidden="1" customWidth="1"/>
    <col min="9222" max="9222" width="6.85546875" style="105" customWidth="1"/>
    <col min="9223" max="9223" width="8.5703125" style="105" customWidth="1"/>
    <col min="9224" max="9227" width="6.85546875" style="105" customWidth="1"/>
    <col min="9228" max="9228" width="8.42578125" style="105" customWidth="1"/>
    <col min="9229" max="9237" width="6.85546875" style="105" customWidth="1"/>
    <col min="9238" max="9238" width="7.42578125" style="105" customWidth="1"/>
    <col min="9239" max="9242" width="6.85546875" style="105" customWidth="1"/>
    <col min="9243" max="9243" width="7.28515625" style="105" customWidth="1"/>
    <col min="9244" max="9247" width="6.85546875" style="105" customWidth="1"/>
    <col min="9248" max="9248" width="8.28515625" style="105" customWidth="1"/>
    <col min="9249" max="9251" width="6.85546875" style="105" customWidth="1"/>
    <col min="9252" max="9252" width="5" style="105" customWidth="1"/>
    <col min="9253" max="9253" width="8.5703125" style="105" customWidth="1"/>
    <col min="9254" max="9472" width="11.42578125" style="105"/>
    <col min="9473" max="9475" width="6.85546875" style="105" customWidth="1"/>
    <col min="9476" max="9477" width="0" style="105" hidden="1" customWidth="1"/>
    <col min="9478" max="9478" width="6.85546875" style="105" customWidth="1"/>
    <col min="9479" max="9479" width="8.5703125" style="105" customWidth="1"/>
    <col min="9480" max="9483" width="6.85546875" style="105" customWidth="1"/>
    <col min="9484" max="9484" width="8.42578125" style="105" customWidth="1"/>
    <col min="9485" max="9493" width="6.85546875" style="105" customWidth="1"/>
    <col min="9494" max="9494" width="7.42578125" style="105" customWidth="1"/>
    <col min="9495" max="9498" width="6.85546875" style="105" customWidth="1"/>
    <col min="9499" max="9499" width="7.28515625" style="105" customWidth="1"/>
    <col min="9500" max="9503" width="6.85546875" style="105" customWidth="1"/>
    <col min="9504" max="9504" width="8.28515625" style="105" customWidth="1"/>
    <col min="9505" max="9507" width="6.85546875" style="105" customWidth="1"/>
    <col min="9508" max="9508" width="5" style="105" customWidth="1"/>
    <col min="9509" max="9509" width="8.5703125" style="105" customWidth="1"/>
    <col min="9510" max="9728" width="11.42578125" style="105"/>
    <col min="9729" max="9731" width="6.85546875" style="105" customWidth="1"/>
    <col min="9732" max="9733" width="0" style="105" hidden="1" customWidth="1"/>
    <col min="9734" max="9734" width="6.85546875" style="105" customWidth="1"/>
    <col min="9735" max="9735" width="8.5703125" style="105" customWidth="1"/>
    <col min="9736" max="9739" width="6.85546875" style="105" customWidth="1"/>
    <col min="9740" max="9740" width="8.42578125" style="105" customWidth="1"/>
    <col min="9741" max="9749" width="6.85546875" style="105" customWidth="1"/>
    <col min="9750" max="9750" width="7.42578125" style="105" customWidth="1"/>
    <col min="9751" max="9754" width="6.85546875" style="105" customWidth="1"/>
    <col min="9755" max="9755" width="7.28515625" style="105" customWidth="1"/>
    <col min="9756" max="9759" width="6.85546875" style="105" customWidth="1"/>
    <col min="9760" max="9760" width="8.28515625" style="105" customWidth="1"/>
    <col min="9761" max="9763" width="6.85546875" style="105" customWidth="1"/>
    <col min="9764" max="9764" width="5" style="105" customWidth="1"/>
    <col min="9765" max="9765" width="8.5703125" style="105" customWidth="1"/>
    <col min="9766" max="9984" width="11.42578125" style="105"/>
    <col min="9985" max="9987" width="6.85546875" style="105" customWidth="1"/>
    <col min="9988" max="9989" width="0" style="105" hidden="1" customWidth="1"/>
    <col min="9990" max="9990" width="6.85546875" style="105" customWidth="1"/>
    <col min="9991" max="9991" width="8.5703125" style="105" customWidth="1"/>
    <col min="9992" max="9995" width="6.85546875" style="105" customWidth="1"/>
    <col min="9996" max="9996" width="8.42578125" style="105" customWidth="1"/>
    <col min="9997" max="10005" width="6.85546875" style="105" customWidth="1"/>
    <col min="10006" max="10006" width="7.42578125" style="105" customWidth="1"/>
    <col min="10007" max="10010" width="6.85546875" style="105" customWidth="1"/>
    <col min="10011" max="10011" width="7.28515625" style="105" customWidth="1"/>
    <col min="10012" max="10015" width="6.85546875" style="105" customWidth="1"/>
    <col min="10016" max="10016" width="8.28515625" style="105" customWidth="1"/>
    <col min="10017" max="10019" width="6.85546875" style="105" customWidth="1"/>
    <col min="10020" max="10020" width="5" style="105" customWidth="1"/>
    <col min="10021" max="10021" width="8.5703125" style="105" customWidth="1"/>
    <col min="10022" max="10240" width="11.42578125" style="105"/>
    <col min="10241" max="10243" width="6.85546875" style="105" customWidth="1"/>
    <col min="10244" max="10245" width="0" style="105" hidden="1" customWidth="1"/>
    <col min="10246" max="10246" width="6.85546875" style="105" customWidth="1"/>
    <col min="10247" max="10247" width="8.5703125" style="105" customWidth="1"/>
    <col min="10248" max="10251" width="6.85546875" style="105" customWidth="1"/>
    <col min="10252" max="10252" width="8.42578125" style="105" customWidth="1"/>
    <col min="10253" max="10261" width="6.85546875" style="105" customWidth="1"/>
    <col min="10262" max="10262" width="7.42578125" style="105" customWidth="1"/>
    <col min="10263" max="10266" width="6.85546875" style="105" customWidth="1"/>
    <col min="10267" max="10267" width="7.28515625" style="105" customWidth="1"/>
    <col min="10268" max="10271" width="6.85546875" style="105" customWidth="1"/>
    <col min="10272" max="10272" width="8.28515625" style="105" customWidth="1"/>
    <col min="10273" max="10275" width="6.85546875" style="105" customWidth="1"/>
    <col min="10276" max="10276" width="5" style="105" customWidth="1"/>
    <col min="10277" max="10277" width="8.5703125" style="105" customWidth="1"/>
    <col min="10278" max="10496" width="11.42578125" style="105"/>
    <col min="10497" max="10499" width="6.85546875" style="105" customWidth="1"/>
    <col min="10500" max="10501" width="0" style="105" hidden="1" customWidth="1"/>
    <col min="10502" max="10502" width="6.85546875" style="105" customWidth="1"/>
    <col min="10503" max="10503" width="8.5703125" style="105" customWidth="1"/>
    <col min="10504" max="10507" width="6.85546875" style="105" customWidth="1"/>
    <col min="10508" max="10508" width="8.42578125" style="105" customWidth="1"/>
    <col min="10509" max="10517" width="6.85546875" style="105" customWidth="1"/>
    <col min="10518" max="10518" width="7.42578125" style="105" customWidth="1"/>
    <col min="10519" max="10522" width="6.85546875" style="105" customWidth="1"/>
    <col min="10523" max="10523" width="7.28515625" style="105" customWidth="1"/>
    <col min="10524" max="10527" width="6.85546875" style="105" customWidth="1"/>
    <col min="10528" max="10528" width="8.28515625" style="105" customWidth="1"/>
    <col min="10529" max="10531" width="6.85546875" style="105" customWidth="1"/>
    <col min="10532" max="10532" width="5" style="105" customWidth="1"/>
    <col min="10533" max="10533" width="8.5703125" style="105" customWidth="1"/>
    <col min="10534" max="10752" width="11.42578125" style="105"/>
    <col min="10753" max="10755" width="6.85546875" style="105" customWidth="1"/>
    <col min="10756" max="10757" width="0" style="105" hidden="1" customWidth="1"/>
    <col min="10758" max="10758" width="6.85546875" style="105" customWidth="1"/>
    <col min="10759" max="10759" width="8.5703125" style="105" customWidth="1"/>
    <col min="10760" max="10763" width="6.85546875" style="105" customWidth="1"/>
    <col min="10764" max="10764" width="8.42578125" style="105" customWidth="1"/>
    <col min="10765" max="10773" width="6.85546875" style="105" customWidth="1"/>
    <col min="10774" max="10774" width="7.42578125" style="105" customWidth="1"/>
    <col min="10775" max="10778" width="6.85546875" style="105" customWidth="1"/>
    <col min="10779" max="10779" width="7.28515625" style="105" customWidth="1"/>
    <col min="10780" max="10783" width="6.85546875" style="105" customWidth="1"/>
    <col min="10784" max="10784" width="8.28515625" style="105" customWidth="1"/>
    <col min="10785" max="10787" width="6.85546875" style="105" customWidth="1"/>
    <col min="10788" max="10788" width="5" style="105" customWidth="1"/>
    <col min="10789" max="10789" width="8.5703125" style="105" customWidth="1"/>
    <col min="10790" max="11008" width="11.42578125" style="105"/>
    <col min="11009" max="11011" width="6.85546875" style="105" customWidth="1"/>
    <col min="11012" max="11013" width="0" style="105" hidden="1" customWidth="1"/>
    <col min="11014" max="11014" width="6.85546875" style="105" customWidth="1"/>
    <col min="11015" max="11015" width="8.5703125" style="105" customWidth="1"/>
    <col min="11016" max="11019" width="6.85546875" style="105" customWidth="1"/>
    <col min="11020" max="11020" width="8.42578125" style="105" customWidth="1"/>
    <col min="11021" max="11029" width="6.85546875" style="105" customWidth="1"/>
    <col min="11030" max="11030" width="7.42578125" style="105" customWidth="1"/>
    <col min="11031" max="11034" width="6.85546875" style="105" customWidth="1"/>
    <col min="11035" max="11035" width="7.28515625" style="105" customWidth="1"/>
    <col min="11036" max="11039" width="6.85546875" style="105" customWidth="1"/>
    <col min="11040" max="11040" width="8.28515625" style="105" customWidth="1"/>
    <col min="11041" max="11043" width="6.85546875" style="105" customWidth="1"/>
    <col min="11044" max="11044" width="5" style="105" customWidth="1"/>
    <col min="11045" max="11045" width="8.5703125" style="105" customWidth="1"/>
    <col min="11046" max="11264" width="11.42578125" style="105"/>
    <col min="11265" max="11267" width="6.85546875" style="105" customWidth="1"/>
    <col min="11268" max="11269" width="0" style="105" hidden="1" customWidth="1"/>
    <col min="11270" max="11270" width="6.85546875" style="105" customWidth="1"/>
    <col min="11271" max="11271" width="8.5703125" style="105" customWidth="1"/>
    <col min="11272" max="11275" width="6.85546875" style="105" customWidth="1"/>
    <col min="11276" max="11276" width="8.42578125" style="105" customWidth="1"/>
    <col min="11277" max="11285" width="6.85546875" style="105" customWidth="1"/>
    <col min="11286" max="11286" width="7.42578125" style="105" customWidth="1"/>
    <col min="11287" max="11290" width="6.85546875" style="105" customWidth="1"/>
    <col min="11291" max="11291" width="7.28515625" style="105" customWidth="1"/>
    <col min="11292" max="11295" width="6.85546875" style="105" customWidth="1"/>
    <col min="11296" max="11296" width="8.28515625" style="105" customWidth="1"/>
    <col min="11297" max="11299" width="6.85546875" style="105" customWidth="1"/>
    <col min="11300" max="11300" width="5" style="105" customWidth="1"/>
    <col min="11301" max="11301" width="8.5703125" style="105" customWidth="1"/>
    <col min="11302" max="11520" width="11.42578125" style="105"/>
    <col min="11521" max="11523" width="6.85546875" style="105" customWidth="1"/>
    <col min="11524" max="11525" width="0" style="105" hidden="1" customWidth="1"/>
    <col min="11526" max="11526" width="6.85546875" style="105" customWidth="1"/>
    <col min="11527" max="11527" width="8.5703125" style="105" customWidth="1"/>
    <col min="11528" max="11531" width="6.85546875" style="105" customWidth="1"/>
    <col min="11532" max="11532" width="8.42578125" style="105" customWidth="1"/>
    <col min="11533" max="11541" width="6.85546875" style="105" customWidth="1"/>
    <col min="11542" max="11542" width="7.42578125" style="105" customWidth="1"/>
    <col min="11543" max="11546" width="6.85546875" style="105" customWidth="1"/>
    <col min="11547" max="11547" width="7.28515625" style="105" customWidth="1"/>
    <col min="11548" max="11551" width="6.85546875" style="105" customWidth="1"/>
    <col min="11552" max="11552" width="8.28515625" style="105" customWidth="1"/>
    <col min="11553" max="11555" width="6.85546875" style="105" customWidth="1"/>
    <col min="11556" max="11556" width="5" style="105" customWidth="1"/>
    <col min="11557" max="11557" width="8.5703125" style="105" customWidth="1"/>
    <col min="11558" max="11776" width="11.42578125" style="105"/>
    <col min="11777" max="11779" width="6.85546875" style="105" customWidth="1"/>
    <col min="11780" max="11781" width="0" style="105" hidden="1" customWidth="1"/>
    <col min="11782" max="11782" width="6.85546875" style="105" customWidth="1"/>
    <col min="11783" max="11783" width="8.5703125" style="105" customWidth="1"/>
    <col min="11784" max="11787" width="6.85546875" style="105" customWidth="1"/>
    <col min="11788" max="11788" width="8.42578125" style="105" customWidth="1"/>
    <col min="11789" max="11797" width="6.85546875" style="105" customWidth="1"/>
    <col min="11798" max="11798" width="7.42578125" style="105" customWidth="1"/>
    <col min="11799" max="11802" width="6.85546875" style="105" customWidth="1"/>
    <col min="11803" max="11803" width="7.28515625" style="105" customWidth="1"/>
    <col min="11804" max="11807" width="6.85546875" style="105" customWidth="1"/>
    <col min="11808" max="11808" width="8.28515625" style="105" customWidth="1"/>
    <col min="11809" max="11811" width="6.85546875" style="105" customWidth="1"/>
    <col min="11812" max="11812" width="5" style="105" customWidth="1"/>
    <col min="11813" max="11813" width="8.5703125" style="105" customWidth="1"/>
    <col min="11814" max="12032" width="11.42578125" style="105"/>
    <col min="12033" max="12035" width="6.85546875" style="105" customWidth="1"/>
    <col min="12036" max="12037" width="0" style="105" hidden="1" customWidth="1"/>
    <col min="12038" max="12038" width="6.85546875" style="105" customWidth="1"/>
    <col min="12039" max="12039" width="8.5703125" style="105" customWidth="1"/>
    <col min="12040" max="12043" width="6.85546875" style="105" customWidth="1"/>
    <col min="12044" max="12044" width="8.42578125" style="105" customWidth="1"/>
    <col min="12045" max="12053" width="6.85546875" style="105" customWidth="1"/>
    <col min="12054" max="12054" width="7.42578125" style="105" customWidth="1"/>
    <col min="12055" max="12058" width="6.85546875" style="105" customWidth="1"/>
    <col min="12059" max="12059" width="7.28515625" style="105" customWidth="1"/>
    <col min="12060" max="12063" width="6.85546875" style="105" customWidth="1"/>
    <col min="12064" max="12064" width="8.28515625" style="105" customWidth="1"/>
    <col min="12065" max="12067" width="6.85546875" style="105" customWidth="1"/>
    <col min="12068" max="12068" width="5" style="105" customWidth="1"/>
    <col min="12069" max="12069" width="8.5703125" style="105" customWidth="1"/>
    <col min="12070" max="12288" width="11.42578125" style="105"/>
    <col min="12289" max="12291" width="6.85546875" style="105" customWidth="1"/>
    <col min="12292" max="12293" width="0" style="105" hidden="1" customWidth="1"/>
    <col min="12294" max="12294" width="6.85546875" style="105" customWidth="1"/>
    <col min="12295" max="12295" width="8.5703125" style="105" customWidth="1"/>
    <col min="12296" max="12299" width="6.85546875" style="105" customWidth="1"/>
    <col min="12300" max="12300" width="8.42578125" style="105" customWidth="1"/>
    <col min="12301" max="12309" width="6.85546875" style="105" customWidth="1"/>
    <col min="12310" max="12310" width="7.42578125" style="105" customWidth="1"/>
    <col min="12311" max="12314" width="6.85546875" style="105" customWidth="1"/>
    <col min="12315" max="12315" width="7.28515625" style="105" customWidth="1"/>
    <col min="12316" max="12319" width="6.85546875" style="105" customWidth="1"/>
    <col min="12320" max="12320" width="8.28515625" style="105" customWidth="1"/>
    <col min="12321" max="12323" width="6.85546875" style="105" customWidth="1"/>
    <col min="12324" max="12324" width="5" style="105" customWidth="1"/>
    <col min="12325" max="12325" width="8.5703125" style="105" customWidth="1"/>
    <col min="12326" max="12544" width="11.42578125" style="105"/>
    <col min="12545" max="12547" width="6.85546875" style="105" customWidth="1"/>
    <col min="12548" max="12549" width="0" style="105" hidden="1" customWidth="1"/>
    <col min="12550" max="12550" width="6.85546875" style="105" customWidth="1"/>
    <col min="12551" max="12551" width="8.5703125" style="105" customWidth="1"/>
    <col min="12552" max="12555" width="6.85546875" style="105" customWidth="1"/>
    <col min="12556" max="12556" width="8.42578125" style="105" customWidth="1"/>
    <col min="12557" max="12565" width="6.85546875" style="105" customWidth="1"/>
    <col min="12566" max="12566" width="7.42578125" style="105" customWidth="1"/>
    <col min="12567" max="12570" width="6.85546875" style="105" customWidth="1"/>
    <col min="12571" max="12571" width="7.28515625" style="105" customWidth="1"/>
    <col min="12572" max="12575" width="6.85546875" style="105" customWidth="1"/>
    <col min="12576" max="12576" width="8.28515625" style="105" customWidth="1"/>
    <col min="12577" max="12579" width="6.85546875" style="105" customWidth="1"/>
    <col min="12580" max="12580" width="5" style="105" customWidth="1"/>
    <col min="12581" max="12581" width="8.5703125" style="105" customWidth="1"/>
    <col min="12582" max="12800" width="11.42578125" style="105"/>
    <col min="12801" max="12803" width="6.85546875" style="105" customWidth="1"/>
    <col min="12804" max="12805" width="0" style="105" hidden="1" customWidth="1"/>
    <col min="12806" max="12806" width="6.85546875" style="105" customWidth="1"/>
    <col min="12807" max="12807" width="8.5703125" style="105" customWidth="1"/>
    <col min="12808" max="12811" width="6.85546875" style="105" customWidth="1"/>
    <col min="12812" max="12812" width="8.42578125" style="105" customWidth="1"/>
    <col min="12813" max="12821" width="6.85546875" style="105" customWidth="1"/>
    <col min="12822" max="12822" width="7.42578125" style="105" customWidth="1"/>
    <col min="12823" max="12826" width="6.85546875" style="105" customWidth="1"/>
    <col min="12827" max="12827" width="7.28515625" style="105" customWidth="1"/>
    <col min="12828" max="12831" width="6.85546875" style="105" customWidth="1"/>
    <col min="12832" max="12832" width="8.28515625" style="105" customWidth="1"/>
    <col min="12833" max="12835" width="6.85546875" style="105" customWidth="1"/>
    <col min="12836" max="12836" width="5" style="105" customWidth="1"/>
    <col min="12837" max="12837" width="8.5703125" style="105" customWidth="1"/>
    <col min="12838" max="13056" width="11.42578125" style="105"/>
    <col min="13057" max="13059" width="6.85546875" style="105" customWidth="1"/>
    <col min="13060" max="13061" width="0" style="105" hidden="1" customWidth="1"/>
    <col min="13062" max="13062" width="6.85546875" style="105" customWidth="1"/>
    <col min="13063" max="13063" width="8.5703125" style="105" customWidth="1"/>
    <col min="13064" max="13067" width="6.85546875" style="105" customWidth="1"/>
    <col min="13068" max="13068" width="8.42578125" style="105" customWidth="1"/>
    <col min="13069" max="13077" width="6.85546875" style="105" customWidth="1"/>
    <col min="13078" max="13078" width="7.42578125" style="105" customWidth="1"/>
    <col min="13079" max="13082" width="6.85546875" style="105" customWidth="1"/>
    <col min="13083" max="13083" width="7.28515625" style="105" customWidth="1"/>
    <col min="13084" max="13087" width="6.85546875" style="105" customWidth="1"/>
    <col min="13088" max="13088" width="8.28515625" style="105" customWidth="1"/>
    <col min="13089" max="13091" width="6.85546875" style="105" customWidth="1"/>
    <col min="13092" max="13092" width="5" style="105" customWidth="1"/>
    <col min="13093" max="13093" width="8.5703125" style="105" customWidth="1"/>
    <col min="13094" max="13312" width="11.42578125" style="105"/>
    <col min="13313" max="13315" width="6.85546875" style="105" customWidth="1"/>
    <col min="13316" max="13317" width="0" style="105" hidden="1" customWidth="1"/>
    <col min="13318" max="13318" width="6.85546875" style="105" customWidth="1"/>
    <col min="13319" max="13319" width="8.5703125" style="105" customWidth="1"/>
    <col min="13320" max="13323" width="6.85546875" style="105" customWidth="1"/>
    <col min="13324" max="13324" width="8.42578125" style="105" customWidth="1"/>
    <col min="13325" max="13333" width="6.85546875" style="105" customWidth="1"/>
    <col min="13334" max="13334" width="7.42578125" style="105" customWidth="1"/>
    <col min="13335" max="13338" width="6.85546875" style="105" customWidth="1"/>
    <col min="13339" max="13339" width="7.28515625" style="105" customWidth="1"/>
    <col min="13340" max="13343" width="6.85546875" style="105" customWidth="1"/>
    <col min="13344" max="13344" width="8.28515625" style="105" customWidth="1"/>
    <col min="13345" max="13347" width="6.85546875" style="105" customWidth="1"/>
    <col min="13348" max="13348" width="5" style="105" customWidth="1"/>
    <col min="13349" max="13349" width="8.5703125" style="105" customWidth="1"/>
    <col min="13350" max="13568" width="11.42578125" style="105"/>
    <col min="13569" max="13571" width="6.85546875" style="105" customWidth="1"/>
    <col min="13572" max="13573" width="0" style="105" hidden="1" customWidth="1"/>
    <col min="13574" max="13574" width="6.85546875" style="105" customWidth="1"/>
    <col min="13575" max="13575" width="8.5703125" style="105" customWidth="1"/>
    <col min="13576" max="13579" width="6.85546875" style="105" customWidth="1"/>
    <col min="13580" max="13580" width="8.42578125" style="105" customWidth="1"/>
    <col min="13581" max="13589" width="6.85546875" style="105" customWidth="1"/>
    <col min="13590" max="13590" width="7.42578125" style="105" customWidth="1"/>
    <col min="13591" max="13594" width="6.85546875" style="105" customWidth="1"/>
    <col min="13595" max="13595" width="7.28515625" style="105" customWidth="1"/>
    <col min="13596" max="13599" width="6.85546875" style="105" customWidth="1"/>
    <col min="13600" max="13600" width="8.28515625" style="105" customWidth="1"/>
    <col min="13601" max="13603" width="6.85546875" style="105" customWidth="1"/>
    <col min="13604" max="13604" width="5" style="105" customWidth="1"/>
    <col min="13605" max="13605" width="8.5703125" style="105" customWidth="1"/>
    <col min="13606" max="13824" width="11.42578125" style="105"/>
    <col min="13825" max="13827" width="6.85546875" style="105" customWidth="1"/>
    <col min="13828" max="13829" width="0" style="105" hidden="1" customWidth="1"/>
    <col min="13830" max="13830" width="6.85546875" style="105" customWidth="1"/>
    <col min="13831" max="13831" width="8.5703125" style="105" customWidth="1"/>
    <col min="13832" max="13835" width="6.85546875" style="105" customWidth="1"/>
    <col min="13836" max="13836" width="8.42578125" style="105" customWidth="1"/>
    <col min="13837" max="13845" width="6.85546875" style="105" customWidth="1"/>
    <col min="13846" max="13846" width="7.42578125" style="105" customWidth="1"/>
    <col min="13847" max="13850" width="6.85546875" style="105" customWidth="1"/>
    <col min="13851" max="13851" width="7.28515625" style="105" customWidth="1"/>
    <col min="13852" max="13855" width="6.85546875" style="105" customWidth="1"/>
    <col min="13856" max="13856" width="8.28515625" style="105" customWidth="1"/>
    <col min="13857" max="13859" width="6.85546875" style="105" customWidth="1"/>
    <col min="13860" max="13860" width="5" style="105" customWidth="1"/>
    <col min="13861" max="13861" width="8.5703125" style="105" customWidth="1"/>
    <col min="13862" max="14080" width="11.42578125" style="105"/>
    <col min="14081" max="14083" width="6.85546875" style="105" customWidth="1"/>
    <col min="14084" max="14085" width="0" style="105" hidden="1" customWidth="1"/>
    <col min="14086" max="14086" width="6.85546875" style="105" customWidth="1"/>
    <col min="14087" max="14087" width="8.5703125" style="105" customWidth="1"/>
    <col min="14088" max="14091" width="6.85546875" style="105" customWidth="1"/>
    <col min="14092" max="14092" width="8.42578125" style="105" customWidth="1"/>
    <col min="14093" max="14101" width="6.85546875" style="105" customWidth="1"/>
    <col min="14102" max="14102" width="7.42578125" style="105" customWidth="1"/>
    <col min="14103" max="14106" width="6.85546875" style="105" customWidth="1"/>
    <col min="14107" max="14107" width="7.28515625" style="105" customWidth="1"/>
    <col min="14108" max="14111" width="6.85546875" style="105" customWidth="1"/>
    <col min="14112" max="14112" width="8.28515625" style="105" customWidth="1"/>
    <col min="14113" max="14115" width="6.85546875" style="105" customWidth="1"/>
    <col min="14116" max="14116" width="5" style="105" customWidth="1"/>
    <col min="14117" max="14117" width="8.5703125" style="105" customWidth="1"/>
    <col min="14118" max="14336" width="11.42578125" style="105"/>
    <col min="14337" max="14339" width="6.85546875" style="105" customWidth="1"/>
    <col min="14340" max="14341" width="0" style="105" hidden="1" customWidth="1"/>
    <col min="14342" max="14342" width="6.85546875" style="105" customWidth="1"/>
    <col min="14343" max="14343" width="8.5703125" style="105" customWidth="1"/>
    <col min="14344" max="14347" width="6.85546875" style="105" customWidth="1"/>
    <col min="14348" max="14348" width="8.42578125" style="105" customWidth="1"/>
    <col min="14349" max="14357" width="6.85546875" style="105" customWidth="1"/>
    <col min="14358" max="14358" width="7.42578125" style="105" customWidth="1"/>
    <col min="14359" max="14362" width="6.85546875" style="105" customWidth="1"/>
    <col min="14363" max="14363" width="7.28515625" style="105" customWidth="1"/>
    <col min="14364" max="14367" width="6.85546875" style="105" customWidth="1"/>
    <col min="14368" max="14368" width="8.28515625" style="105" customWidth="1"/>
    <col min="14369" max="14371" width="6.85546875" style="105" customWidth="1"/>
    <col min="14372" max="14372" width="5" style="105" customWidth="1"/>
    <col min="14373" max="14373" width="8.5703125" style="105" customWidth="1"/>
    <col min="14374" max="14592" width="11.42578125" style="105"/>
    <col min="14593" max="14595" width="6.85546875" style="105" customWidth="1"/>
    <col min="14596" max="14597" width="0" style="105" hidden="1" customWidth="1"/>
    <col min="14598" max="14598" width="6.85546875" style="105" customWidth="1"/>
    <col min="14599" max="14599" width="8.5703125" style="105" customWidth="1"/>
    <col min="14600" max="14603" width="6.85546875" style="105" customWidth="1"/>
    <col min="14604" max="14604" width="8.42578125" style="105" customWidth="1"/>
    <col min="14605" max="14613" width="6.85546875" style="105" customWidth="1"/>
    <col min="14614" max="14614" width="7.42578125" style="105" customWidth="1"/>
    <col min="14615" max="14618" width="6.85546875" style="105" customWidth="1"/>
    <col min="14619" max="14619" width="7.28515625" style="105" customWidth="1"/>
    <col min="14620" max="14623" width="6.85546875" style="105" customWidth="1"/>
    <col min="14624" max="14624" width="8.28515625" style="105" customWidth="1"/>
    <col min="14625" max="14627" width="6.85546875" style="105" customWidth="1"/>
    <col min="14628" max="14628" width="5" style="105" customWidth="1"/>
    <col min="14629" max="14629" width="8.5703125" style="105" customWidth="1"/>
    <col min="14630" max="14848" width="11.42578125" style="105"/>
    <col min="14849" max="14851" width="6.85546875" style="105" customWidth="1"/>
    <col min="14852" max="14853" width="0" style="105" hidden="1" customWidth="1"/>
    <col min="14854" max="14854" width="6.85546875" style="105" customWidth="1"/>
    <col min="14855" max="14855" width="8.5703125" style="105" customWidth="1"/>
    <col min="14856" max="14859" width="6.85546875" style="105" customWidth="1"/>
    <col min="14860" max="14860" width="8.42578125" style="105" customWidth="1"/>
    <col min="14861" max="14869" width="6.85546875" style="105" customWidth="1"/>
    <col min="14870" max="14870" width="7.42578125" style="105" customWidth="1"/>
    <col min="14871" max="14874" width="6.85546875" style="105" customWidth="1"/>
    <col min="14875" max="14875" width="7.28515625" style="105" customWidth="1"/>
    <col min="14876" max="14879" width="6.85546875" style="105" customWidth="1"/>
    <col min="14880" max="14880" width="8.28515625" style="105" customWidth="1"/>
    <col min="14881" max="14883" width="6.85546875" style="105" customWidth="1"/>
    <col min="14884" max="14884" width="5" style="105" customWidth="1"/>
    <col min="14885" max="14885" width="8.5703125" style="105" customWidth="1"/>
    <col min="14886" max="15104" width="11.42578125" style="105"/>
    <col min="15105" max="15107" width="6.85546875" style="105" customWidth="1"/>
    <col min="15108" max="15109" width="0" style="105" hidden="1" customWidth="1"/>
    <col min="15110" max="15110" width="6.85546875" style="105" customWidth="1"/>
    <col min="15111" max="15111" width="8.5703125" style="105" customWidth="1"/>
    <col min="15112" max="15115" width="6.85546875" style="105" customWidth="1"/>
    <col min="15116" max="15116" width="8.42578125" style="105" customWidth="1"/>
    <col min="15117" max="15125" width="6.85546875" style="105" customWidth="1"/>
    <col min="15126" max="15126" width="7.42578125" style="105" customWidth="1"/>
    <col min="15127" max="15130" width="6.85546875" style="105" customWidth="1"/>
    <col min="15131" max="15131" width="7.28515625" style="105" customWidth="1"/>
    <col min="15132" max="15135" width="6.85546875" style="105" customWidth="1"/>
    <col min="15136" max="15136" width="8.28515625" style="105" customWidth="1"/>
    <col min="15137" max="15139" width="6.85546875" style="105" customWidth="1"/>
    <col min="15140" max="15140" width="5" style="105" customWidth="1"/>
    <col min="15141" max="15141" width="8.5703125" style="105" customWidth="1"/>
    <col min="15142" max="15360" width="11.42578125" style="105"/>
    <col min="15361" max="15363" width="6.85546875" style="105" customWidth="1"/>
    <col min="15364" max="15365" width="0" style="105" hidden="1" customWidth="1"/>
    <col min="15366" max="15366" width="6.85546875" style="105" customWidth="1"/>
    <col min="15367" max="15367" width="8.5703125" style="105" customWidth="1"/>
    <col min="15368" max="15371" width="6.85546875" style="105" customWidth="1"/>
    <col min="15372" max="15372" width="8.42578125" style="105" customWidth="1"/>
    <col min="15373" max="15381" width="6.85546875" style="105" customWidth="1"/>
    <col min="15382" max="15382" width="7.42578125" style="105" customWidth="1"/>
    <col min="15383" max="15386" width="6.85546875" style="105" customWidth="1"/>
    <col min="15387" max="15387" width="7.28515625" style="105" customWidth="1"/>
    <col min="15388" max="15391" width="6.85546875" style="105" customWidth="1"/>
    <col min="15392" max="15392" width="8.28515625" style="105" customWidth="1"/>
    <col min="15393" max="15395" width="6.85546875" style="105" customWidth="1"/>
    <col min="15396" max="15396" width="5" style="105" customWidth="1"/>
    <col min="15397" max="15397" width="8.5703125" style="105" customWidth="1"/>
    <col min="15398" max="15616" width="11.42578125" style="105"/>
    <col min="15617" max="15619" width="6.85546875" style="105" customWidth="1"/>
    <col min="15620" max="15621" width="0" style="105" hidden="1" customWidth="1"/>
    <col min="15622" max="15622" width="6.85546875" style="105" customWidth="1"/>
    <col min="15623" max="15623" width="8.5703125" style="105" customWidth="1"/>
    <col min="15624" max="15627" width="6.85546875" style="105" customWidth="1"/>
    <col min="15628" max="15628" width="8.42578125" style="105" customWidth="1"/>
    <col min="15629" max="15637" width="6.85546875" style="105" customWidth="1"/>
    <col min="15638" max="15638" width="7.42578125" style="105" customWidth="1"/>
    <col min="15639" max="15642" width="6.85546875" style="105" customWidth="1"/>
    <col min="15643" max="15643" width="7.28515625" style="105" customWidth="1"/>
    <col min="15644" max="15647" width="6.85546875" style="105" customWidth="1"/>
    <col min="15648" max="15648" width="8.28515625" style="105" customWidth="1"/>
    <col min="15649" max="15651" width="6.85546875" style="105" customWidth="1"/>
    <col min="15652" max="15652" width="5" style="105" customWidth="1"/>
    <col min="15653" max="15653" width="8.5703125" style="105" customWidth="1"/>
    <col min="15654" max="15872" width="11.42578125" style="105"/>
    <col min="15873" max="15875" width="6.85546875" style="105" customWidth="1"/>
    <col min="15876" max="15877" width="0" style="105" hidden="1" customWidth="1"/>
    <col min="15878" max="15878" width="6.85546875" style="105" customWidth="1"/>
    <col min="15879" max="15879" width="8.5703125" style="105" customWidth="1"/>
    <col min="15880" max="15883" width="6.85546875" style="105" customWidth="1"/>
    <col min="15884" max="15884" width="8.42578125" style="105" customWidth="1"/>
    <col min="15885" max="15893" width="6.85546875" style="105" customWidth="1"/>
    <col min="15894" max="15894" width="7.42578125" style="105" customWidth="1"/>
    <col min="15895" max="15898" width="6.85546875" style="105" customWidth="1"/>
    <col min="15899" max="15899" width="7.28515625" style="105" customWidth="1"/>
    <col min="15900" max="15903" width="6.85546875" style="105" customWidth="1"/>
    <col min="15904" max="15904" width="8.28515625" style="105" customWidth="1"/>
    <col min="15905" max="15907" width="6.85546875" style="105" customWidth="1"/>
    <col min="15908" max="15908" width="5" style="105" customWidth="1"/>
    <col min="15909" max="15909" width="8.5703125" style="105" customWidth="1"/>
    <col min="15910" max="16128" width="11.42578125" style="105"/>
    <col min="16129" max="16131" width="6.85546875" style="105" customWidth="1"/>
    <col min="16132" max="16133" width="0" style="105" hidden="1" customWidth="1"/>
    <col min="16134" max="16134" width="6.85546875" style="105" customWidth="1"/>
    <col min="16135" max="16135" width="8.5703125" style="105" customWidth="1"/>
    <col min="16136" max="16139" width="6.85546875" style="105" customWidth="1"/>
    <col min="16140" max="16140" width="8.42578125" style="105" customWidth="1"/>
    <col min="16141" max="16149" width="6.85546875" style="105" customWidth="1"/>
    <col min="16150" max="16150" width="7.42578125" style="105" customWidth="1"/>
    <col min="16151" max="16154" width="6.85546875" style="105" customWidth="1"/>
    <col min="16155" max="16155" width="7.28515625" style="105" customWidth="1"/>
    <col min="16156" max="16159" width="6.85546875" style="105" customWidth="1"/>
    <col min="16160" max="16160" width="8.28515625" style="105" customWidth="1"/>
    <col min="16161" max="16163" width="6.85546875" style="105" customWidth="1"/>
    <col min="16164" max="16164" width="5" style="105" customWidth="1"/>
    <col min="16165" max="16165" width="8.5703125" style="105" customWidth="1"/>
    <col min="16166" max="16384" width="11.42578125" style="105"/>
  </cols>
  <sheetData>
    <row r="1" spans="1:37" ht="227.25" customHeight="1">
      <c r="A1" s="337" t="s">
        <v>1048</v>
      </c>
      <c r="B1" s="338" t="s">
        <v>2101</v>
      </c>
      <c r="C1" s="338" t="s">
        <v>2102</v>
      </c>
      <c r="D1" s="339" t="s">
        <v>2103</v>
      </c>
      <c r="E1" s="340" t="s">
        <v>1277</v>
      </c>
      <c r="F1" s="337" t="s">
        <v>1049</v>
      </c>
      <c r="G1" s="341" t="s">
        <v>1054</v>
      </c>
      <c r="H1" s="341" t="s">
        <v>1050</v>
      </c>
      <c r="I1" s="341" t="s">
        <v>1051</v>
      </c>
      <c r="J1" s="342" t="s">
        <v>1052</v>
      </c>
      <c r="K1" s="337" t="s">
        <v>1053</v>
      </c>
      <c r="L1" s="341" t="s">
        <v>1055</v>
      </c>
      <c r="M1" s="341" t="s">
        <v>1042</v>
      </c>
      <c r="N1" s="341" t="s">
        <v>1043</v>
      </c>
      <c r="O1" s="342" t="s">
        <v>1044</v>
      </c>
      <c r="P1" s="337" t="s">
        <v>1057</v>
      </c>
      <c r="Q1" s="341" t="s">
        <v>1056</v>
      </c>
      <c r="R1" s="341" t="s">
        <v>1045</v>
      </c>
      <c r="S1" s="341" t="s">
        <v>1046</v>
      </c>
      <c r="T1" s="342" t="s">
        <v>1047</v>
      </c>
      <c r="U1" s="337" t="s">
        <v>1058</v>
      </c>
      <c r="V1" s="341" t="s">
        <v>1069</v>
      </c>
      <c r="W1" s="341" t="s">
        <v>1061</v>
      </c>
      <c r="X1" s="341" t="s">
        <v>1062</v>
      </c>
      <c r="Y1" s="342" t="s">
        <v>1063</v>
      </c>
      <c r="Z1" s="337" t="s">
        <v>1059</v>
      </c>
      <c r="AA1" s="341" t="s">
        <v>1068</v>
      </c>
      <c r="AB1" s="341" t="s">
        <v>1064</v>
      </c>
      <c r="AC1" s="341" t="s">
        <v>1065</v>
      </c>
      <c r="AD1" s="342" t="s">
        <v>1066</v>
      </c>
      <c r="AE1" s="337" t="s">
        <v>1060</v>
      </c>
      <c r="AF1" s="341" t="s">
        <v>1067</v>
      </c>
      <c r="AG1" s="341" t="s">
        <v>1070</v>
      </c>
      <c r="AH1" s="341" t="s">
        <v>1071</v>
      </c>
      <c r="AI1" s="342" t="s">
        <v>1072</v>
      </c>
      <c r="AJ1" s="341" t="s">
        <v>1036</v>
      </c>
      <c r="AK1" s="341" t="s">
        <v>843</v>
      </c>
    </row>
    <row r="2" spans="1:37">
      <c r="A2" s="153">
        <v>0</v>
      </c>
      <c r="B2" s="114" t="s">
        <v>844</v>
      </c>
      <c r="C2" s="155">
        <v>80</v>
      </c>
      <c r="D2" s="213"/>
      <c r="E2" s="155"/>
      <c r="F2" s="104">
        <v>0</v>
      </c>
      <c r="G2" s="105" t="s">
        <v>845</v>
      </c>
      <c r="H2" s="105" t="s">
        <v>844</v>
      </c>
      <c r="I2" s="154">
        <v>120</v>
      </c>
      <c r="K2" s="153">
        <v>0</v>
      </c>
      <c r="L2" s="105" t="s">
        <v>846</v>
      </c>
      <c r="M2" s="105" t="s">
        <v>844</v>
      </c>
      <c r="N2" s="154">
        <v>120</v>
      </c>
      <c r="P2" s="153">
        <v>0</v>
      </c>
      <c r="Q2" s="105" t="s">
        <v>847</v>
      </c>
      <c r="R2" s="105" t="s">
        <v>844</v>
      </c>
      <c r="S2" s="154">
        <v>120</v>
      </c>
      <c r="U2" s="153">
        <v>0</v>
      </c>
      <c r="V2" s="105" t="s">
        <v>845</v>
      </c>
      <c r="W2" s="105" t="s">
        <v>844</v>
      </c>
      <c r="X2" s="154">
        <v>60</v>
      </c>
      <c r="Z2" s="153">
        <v>0</v>
      </c>
      <c r="AA2" s="105" t="s">
        <v>846</v>
      </c>
      <c r="AB2" s="105" t="s">
        <v>844</v>
      </c>
      <c r="AC2" s="154">
        <v>60</v>
      </c>
      <c r="AE2" s="153">
        <v>0</v>
      </c>
      <c r="AF2" s="105" t="s">
        <v>847</v>
      </c>
      <c r="AG2" s="105" t="s">
        <v>844</v>
      </c>
      <c r="AH2" s="154">
        <v>60</v>
      </c>
    </row>
    <row r="3" spans="1:37">
      <c r="A3" s="153">
        <v>1</v>
      </c>
      <c r="B3" s="114" t="s">
        <v>844</v>
      </c>
      <c r="C3" s="155">
        <v>80</v>
      </c>
      <c r="D3" s="213"/>
      <c r="E3" s="155"/>
      <c r="F3" s="104">
        <v>1</v>
      </c>
      <c r="G3" s="105" t="s">
        <v>845</v>
      </c>
      <c r="H3" s="105" t="s">
        <v>844</v>
      </c>
      <c r="I3" s="154">
        <v>120</v>
      </c>
      <c r="K3" s="153">
        <v>1</v>
      </c>
      <c r="L3" s="105" t="s">
        <v>846</v>
      </c>
      <c r="M3" s="105" t="s">
        <v>844</v>
      </c>
      <c r="N3" s="154">
        <v>120</v>
      </c>
      <c r="P3" s="153">
        <v>1</v>
      </c>
      <c r="Q3" s="105" t="s">
        <v>847</v>
      </c>
      <c r="R3" s="105" t="s">
        <v>844</v>
      </c>
      <c r="S3" s="154">
        <v>120</v>
      </c>
      <c r="U3" s="153">
        <v>1</v>
      </c>
      <c r="V3" s="105" t="s">
        <v>845</v>
      </c>
      <c r="W3" s="105" t="s">
        <v>844</v>
      </c>
      <c r="X3" s="154">
        <v>60</v>
      </c>
      <c r="Z3" s="153">
        <v>1</v>
      </c>
      <c r="AA3" s="105" t="s">
        <v>846</v>
      </c>
      <c r="AB3" s="105" t="s">
        <v>844</v>
      </c>
      <c r="AC3" s="154">
        <v>60</v>
      </c>
      <c r="AE3" s="153">
        <v>1</v>
      </c>
      <c r="AF3" s="105" t="s">
        <v>847</v>
      </c>
      <c r="AG3" s="105" t="s">
        <v>844</v>
      </c>
      <c r="AH3" s="154">
        <v>60</v>
      </c>
      <c r="AK3" s="105" t="s">
        <v>845</v>
      </c>
    </row>
    <row r="4" spans="1:37" ht="18">
      <c r="A4" s="153">
        <v>2</v>
      </c>
      <c r="B4" s="114" t="s">
        <v>844</v>
      </c>
      <c r="C4" s="155">
        <v>80</v>
      </c>
      <c r="D4" s="213"/>
      <c r="E4" s="155"/>
      <c r="F4" s="104">
        <v>2</v>
      </c>
      <c r="G4" s="105" t="s">
        <v>845</v>
      </c>
      <c r="H4" s="105" t="s">
        <v>844</v>
      </c>
      <c r="I4" s="154">
        <v>120</v>
      </c>
      <c r="K4" s="153">
        <v>2</v>
      </c>
      <c r="L4" s="105" t="s">
        <v>846</v>
      </c>
      <c r="M4" s="105" t="s">
        <v>844</v>
      </c>
      <c r="N4" s="154">
        <v>120</v>
      </c>
      <c r="P4" s="153">
        <v>2</v>
      </c>
      <c r="Q4" s="105" t="s">
        <v>847</v>
      </c>
      <c r="R4" s="105" t="s">
        <v>844</v>
      </c>
      <c r="S4" s="154">
        <v>120</v>
      </c>
      <c r="U4" s="153">
        <v>2</v>
      </c>
      <c r="V4" s="105" t="s">
        <v>845</v>
      </c>
      <c r="W4" s="105" t="s">
        <v>2104</v>
      </c>
      <c r="X4" s="154">
        <v>50</v>
      </c>
      <c r="Z4" s="153">
        <v>2</v>
      </c>
      <c r="AA4" s="105" t="s">
        <v>846</v>
      </c>
      <c r="AB4" s="105" t="s">
        <v>844</v>
      </c>
      <c r="AC4" s="154">
        <v>60</v>
      </c>
      <c r="AE4" s="153">
        <v>2</v>
      </c>
      <c r="AF4" s="105" t="s">
        <v>847</v>
      </c>
      <c r="AG4" s="105" t="s">
        <v>844</v>
      </c>
      <c r="AH4" s="154">
        <v>60</v>
      </c>
      <c r="AK4" s="105" t="s">
        <v>846</v>
      </c>
    </row>
    <row r="5" spans="1:37" ht="18">
      <c r="A5" s="153">
        <v>3</v>
      </c>
      <c r="B5" s="114" t="s">
        <v>844</v>
      </c>
      <c r="C5" s="155">
        <v>80</v>
      </c>
      <c r="D5" s="213"/>
      <c r="E5" s="155"/>
      <c r="F5" s="104">
        <v>3</v>
      </c>
      <c r="G5" s="105" t="s">
        <v>845</v>
      </c>
      <c r="H5" s="105" t="s">
        <v>844</v>
      </c>
      <c r="I5" s="154">
        <v>120</v>
      </c>
      <c r="K5" s="153">
        <v>3</v>
      </c>
      <c r="L5" s="105" t="s">
        <v>846</v>
      </c>
      <c r="M5" s="105" t="s">
        <v>844</v>
      </c>
      <c r="N5" s="154">
        <v>120</v>
      </c>
      <c r="P5" s="153">
        <v>3</v>
      </c>
      <c r="Q5" s="105" t="s">
        <v>847</v>
      </c>
      <c r="R5" s="105" t="s">
        <v>844</v>
      </c>
      <c r="S5" s="154">
        <v>120</v>
      </c>
      <c r="U5" s="153">
        <v>3</v>
      </c>
      <c r="V5" s="105" t="s">
        <v>845</v>
      </c>
      <c r="W5" s="105" t="s">
        <v>2105</v>
      </c>
      <c r="X5" s="154">
        <v>40</v>
      </c>
      <c r="Z5" s="153">
        <v>3</v>
      </c>
      <c r="AA5" s="105" t="s">
        <v>846</v>
      </c>
      <c r="AB5" s="105" t="s">
        <v>2104</v>
      </c>
      <c r="AC5" s="154">
        <v>50</v>
      </c>
      <c r="AE5" s="153">
        <v>3</v>
      </c>
      <c r="AF5" s="105" t="s">
        <v>847</v>
      </c>
      <c r="AG5" s="105" t="s">
        <v>844</v>
      </c>
      <c r="AH5" s="154">
        <v>60</v>
      </c>
      <c r="AK5" s="105" t="s">
        <v>847</v>
      </c>
    </row>
    <row r="6" spans="1:37" ht="18">
      <c r="A6" s="153">
        <v>4</v>
      </c>
      <c r="B6" s="114" t="s">
        <v>844</v>
      </c>
      <c r="C6" s="155">
        <v>80</v>
      </c>
      <c r="D6" s="213"/>
      <c r="E6" s="155"/>
      <c r="F6" s="104">
        <v>4</v>
      </c>
      <c r="G6" s="105" t="s">
        <v>845</v>
      </c>
      <c r="H6" s="105" t="s">
        <v>844</v>
      </c>
      <c r="I6" s="154">
        <v>120</v>
      </c>
      <c r="K6" s="153">
        <v>4</v>
      </c>
      <c r="L6" s="105" t="s">
        <v>846</v>
      </c>
      <c r="M6" s="105" t="s">
        <v>844</v>
      </c>
      <c r="N6" s="154">
        <v>120</v>
      </c>
      <c r="P6" s="153">
        <v>4</v>
      </c>
      <c r="Q6" s="105" t="s">
        <v>847</v>
      </c>
      <c r="R6" s="105" t="s">
        <v>844</v>
      </c>
      <c r="S6" s="154">
        <v>120</v>
      </c>
      <c r="U6" s="153">
        <v>4</v>
      </c>
      <c r="V6" s="105" t="s">
        <v>845</v>
      </c>
      <c r="W6" s="105" t="s">
        <v>2106</v>
      </c>
      <c r="X6" s="154">
        <v>30</v>
      </c>
      <c r="Z6" s="153">
        <v>4</v>
      </c>
      <c r="AA6" s="105" t="s">
        <v>846</v>
      </c>
      <c r="AB6" s="105" t="s">
        <v>2105</v>
      </c>
      <c r="AC6" s="154">
        <v>50</v>
      </c>
      <c r="AE6" s="153">
        <v>4</v>
      </c>
      <c r="AF6" s="105" t="s">
        <v>847</v>
      </c>
      <c r="AG6" s="105" t="s">
        <v>2104</v>
      </c>
      <c r="AH6" s="154">
        <v>50</v>
      </c>
    </row>
    <row r="7" spans="1:37" ht="18">
      <c r="A7" s="153">
        <v>5</v>
      </c>
      <c r="B7" s="114" t="s">
        <v>844</v>
      </c>
      <c r="C7" s="155">
        <v>80</v>
      </c>
      <c r="D7" s="213"/>
      <c r="E7" s="155"/>
      <c r="F7" s="104">
        <v>5</v>
      </c>
      <c r="G7" s="105" t="s">
        <v>845</v>
      </c>
      <c r="H7" s="105" t="s">
        <v>2104</v>
      </c>
      <c r="I7" s="154">
        <v>90</v>
      </c>
      <c r="K7" s="153">
        <v>5</v>
      </c>
      <c r="L7" s="105" t="s">
        <v>846</v>
      </c>
      <c r="M7" s="105" t="s">
        <v>844</v>
      </c>
      <c r="N7" s="154">
        <v>120</v>
      </c>
      <c r="P7" s="153">
        <v>5</v>
      </c>
      <c r="Q7" s="105" t="s">
        <v>847</v>
      </c>
      <c r="R7" s="105" t="s">
        <v>844</v>
      </c>
      <c r="S7" s="154">
        <v>120</v>
      </c>
      <c r="U7" s="153">
        <v>5</v>
      </c>
      <c r="V7" s="105" t="s">
        <v>845</v>
      </c>
      <c r="W7" s="105" t="s">
        <v>2107</v>
      </c>
      <c r="X7" s="154">
        <v>20</v>
      </c>
      <c r="Z7" s="153">
        <v>5</v>
      </c>
      <c r="AA7" s="105" t="s">
        <v>846</v>
      </c>
      <c r="AB7" s="105" t="s">
        <v>2105</v>
      </c>
      <c r="AC7" s="154">
        <v>40</v>
      </c>
      <c r="AE7" s="153">
        <v>5</v>
      </c>
      <c r="AF7" s="105" t="s">
        <v>847</v>
      </c>
      <c r="AG7" s="105" t="s">
        <v>2104</v>
      </c>
      <c r="AH7" s="154">
        <v>50</v>
      </c>
    </row>
    <row r="8" spans="1:37" ht="18">
      <c r="A8" s="153">
        <v>6</v>
      </c>
      <c r="B8" s="114" t="s">
        <v>2108</v>
      </c>
      <c r="C8" s="155">
        <v>60</v>
      </c>
      <c r="D8" s="213"/>
      <c r="E8" s="155"/>
      <c r="F8" s="104">
        <v>6</v>
      </c>
      <c r="G8" s="105" t="s">
        <v>845</v>
      </c>
      <c r="H8" s="105" t="s">
        <v>2104</v>
      </c>
      <c r="I8" s="154">
        <v>90</v>
      </c>
      <c r="K8" s="153">
        <v>6</v>
      </c>
      <c r="L8" s="105" t="s">
        <v>846</v>
      </c>
      <c r="M8" s="105" t="s">
        <v>2104</v>
      </c>
      <c r="N8" s="154">
        <v>90</v>
      </c>
      <c r="P8" s="153">
        <v>6</v>
      </c>
      <c r="Q8" s="105" t="s">
        <v>847</v>
      </c>
      <c r="R8" s="105" t="s">
        <v>844</v>
      </c>
      <c r="S8" s="154">
        <v>120</v>
      </c>
      <c r="U8" s="153">
        <v>6</v>
      </c>
      <c r="V8" s="105" t="s">
        <v>845</v>
      </c>
      <c r="W8" s="105" t="s">
        <v>2109</v>
      </c>
      <c r="X8" s="154">
        <v>10</v>
      </c>
      <c r="Z8" s="153">
        <v>6</v>
      </c>
      <c r="AA8" s="105" t="s">
        <v>846</v>
      </c>
      <c r="AB8" s="105" t="s">
        <v>2106</v>
      </c>
      <c r="AC8" s="154">
        <v>30</v>
      </c>
      <c r="AE8" s="153">
        <v>6</v>
      </c>
      <c r="AF8" s="105" t="s">
        <v>847</v>
      </c>
      <c r="AG8" s="105" t="s">
        <v>2105</v>
      </c>
      <c r="AH8" s="154">
        <v>40</v>
      </c>
    </row>
    <row r="9" spans="1:37" ht="18">
      <c r="A9" s="153">
        <v>7</v>
      </c>
      <c r="B9" s="114" t="s">
        <v>2108</v>
      </c>
      <c r="C9" s="155">
        <v>60</v>
      </c>
      <c r="D9" s="213"/>
      <c r="E9" s="155"/>
      <c r="F9" s="104">
        <v>7</v>
      </c>
      <c r="G9" s="105" t="s">
        <v>845</v>
      </c>
      <c r="H9" s="105" t="s">
        <v>2104</v>
      </c>
      <c r="I9" s="154">
        <v>90</v>
      </c>
      <c r="K9" s="153">
        <v>7</v>
      </c>
      <c r="L9" s="105" t="s">
        <v>846</v>
      </c>
      <c r="M9" s="105" t="s">
        <v>2104</v>
      </c>
      <c r="N9" s="154">
        <v>90</v>
      </c>
      <c r="P9" s="153">
        <v>7</v>
      </c>
      <c r="Q9" s="105" t="s">
        <v>847</v>
      </c>
      <c r="R9" s="105" t="s">
        <v>2104</v>
      </c>
      <c r="S9" s="154">
        <v>90</v>
      </c>
      <c r="U9" s="153">
        <v>7</v>
      </c>
      <c r="V9" s="105" t="s">
        <v>845</v>
      </c>
      <c r="W9" s="105" t="s">
        <v>2110</v>
      </c>
      <c r="X9" s="154"/>
      <c r="Y9" s="212">
        <v>0.5</v>
      </c>
      <c r="Z9" s="153">
        <v>7</v>
      </c>
      <c r="AA9" s="105" t="s">
        <v>846</v>
      </c>
      <c r="AB9" s="105" t="s">
        <v>2106</v>
      </c>
      <c r="AC9" s="154">
        <v>30</v>
      </c>
      <c r="AE9" s="153">
        <v>7</v>
      </c>
      <c r="AF9" s="105" t="s">
        <v>847</v>
      </c>
      <c r="AG9" s="105" t="s">
        <v>2105</v>
      </c>
      <c r="AH9" s="154">
        <v>40</v>
      </c>
    </row>
    <row r="10" spans="1:37" ht="18">
      <c r="A10" s="153">
        <v>8</v>
      </c>
      <c r="B10" s="114" t="s">
        <v>2108</v>
      </c>
      <c r="C10" s="155">
        <v>60</v>
      </c>
      <c r="D10" s="213"/>
      <c r="E10" s="155"/>
      <c r="F10" s="104">
        <v>8</v>
      </c>
      <c r="G10" s="105" t="s">
        <v>845</v>
      </c>
      <c r="H10" s="105" t="s">
        <v>2105</v>
      </c>
      <c r="I10" s="154">
        <v>60</v>
      </c>
      <c r="K10" s="153">
        <v>8</v>
      </c>
      <c r="L10" s="105" t="s">
        <v>846</v>
      </c>
      <c r="M10" s="105" t="s">
        <v>2104</v>
      </c>
      <c r="N10" s="154">
        <v>90</v>
      </c>
      <c r="P10" s="153">
        <v>8</v>
      </c>
      <c r="Q10" s="105" t="s">
        <v>847</v>
      </c>
      <c r="R10" s="105" t="s">
        <v>2104</v>
      </c>
      <c r="S10" s="154">
        <v>90</v>
      </c>
      <c r="U10" s="153">
        <v>8</v>
      </c>
      <c r="V10" s="105" t="s">
        <v>845</v>
      </c>
      <c r="W10" s="105" t="s">
        <v>2110</v>
      </c>
      <c r="X10" s="154"/>
      <c r="Y10" s="212">
        <v>0.5</v>
      </c>
      <c r="Z10" s="153">
        <v>8</v>
      </c>
      <c r="AA10" s="105" t="s">
        <v>846</v>
      </c>
      <c r="AB10" s="105" t="s">
        <v>2107</v>
      </c>
      <c r="AC10" s="154">
        <v>20</v>
      </c>
      <c r="AE10" s="153">
        <v>8</v>
      </c>
      <c r="AF10" s="105" t="s">
        <v>847</v>
      </c>
      <c r="AG10" s="105" t="s">
        <v>2106</v>
      </c>
      <c r="AH10" s="154">
        <v>30</v>
      </c>
    </row>
    <row r="11" spans="1:37" ht="18">
      <c r="A11" s="153">
        <v>9</v>
      </c>
      <c r="B11" s="114" t="s">
        <v>2111</v>
      </c>
      <c r="C11" s="155">
        <v>40</v>
      </c>
      <c r="D11" s="213"/>
      <c r="E11" s="155"/>
      <c r="F11" s="104">
        <v>9</v>
      </c>
      <c r="G11" s="105" t="s">
        <v>845</v>
      </c>
      <c r="H11" s="105" t="s">
        <v>2105</v>
      </c>
      <c r="I11" s="154">
        <v>60</v>
      </c>
      <c r="K11" s="153">
        <v>9</v>
      </c>
      <c r="L11" s="105" t="s">
        <v>846</v>
      </c>
      <c r="M11" s="105" t="s">
        <v>2105</v>
      </c>
      <c r="N11" s="154">
        <v>60</v>
      </c>
      <c r="P11" s="153">
        <v>9</v>
      </c>
      <c r="Q11" s="105" t="s">
        <v>847</v>
      </c>
      <c r="R11" s="105" t="s">
        <v>2104</v>
      </c>
      <c r="S11" s="154">
        <v>90</v>
      </c>
      <c r="U11" s="153">
        <v>9</v>
      </c>
      <c r="V11" s="105" t="s">
        <v>845</v>
      </c>
      <c r="W11" s="105" t="s">
        <v>2112</v>
      </c>
      <c r="X11" s="154"/>
      <c r="Y11" s="212">
        <v>0.25</v>
      </c>
      <c r="Z11" s="153">
        <v>9</v>
      </c>
      <c r="AA11" s="105" t="s">
        <v>846</v>
      </c>
      <c r="AB11" s="105" t="s">
        <v>2107</v>
      </c>
      <c r="AC11" s="154">
        <v>20</v>
      </c>
      <c r="AE11" s="153">
        <v>9</v>
      </c>
      <c r="AF11" s="105" t="s">
        <v>847</v>
      </c>
      <c r="AG11" s="105" t="s">
        <v>2106</v>
      </c>
      <c r="AH11" s="154">
        <v>30</v>
      </c>
    </row>
    <row r="12" spans="1:37" ht="18">
      <c r="A12" s="153">
        <v>10</v>
      </c>
      <c r="B12" s="114" t="s">
        <v>2111</v>
      </c>
      <c r="C12" s="155">
        <v>40</v>
      </c>
      <c r="D12" s="213"/>
      <c r="E12" s="155"/>
      <c r="F12" s="104">
        <v>10</v>
      </c>
      <c r="G12" s="105" t="s">
        <v>845</v>
      </c>
      <c r="H12" s="105" t="s">
        <v>2106</v>
      </c>
      <c r="I12" s="154">
        <v>30</v>
      </c>
      <c r="K12" s="153">
        <v>10</v>
      </c>
      <c r="L12" s="105" t="s">
        <v>846</v>
      </c>
      <c r="M12" s="105" t="s">
        <v>2105</v>
      </c>
      <c r="N12" s="154">
        <v>60</v>
      </c>
      <c r="P12" s="153">
        <v>10</v>
      </c>
      <c r="Q12" s="105" t="s">
        <v>847</v>
      </c>
      <c r="R12" s="105" t="s">
        <v>2104</v>
      </c>
      <c r="S12" s="154">
        <v>90</v>
      </c>
      <c r="U12" s="153">
        <v>10</v>
      </c>
      <c r="V12" s="105" t="s">
        <v>845</v>
      </c>
      <c r="W12" s="105" t="s">
        <v>849</v>
      </c>
      <c r="X12" s="154"/>
      <c r="Y12" s="212">
        <v>0</v>
      </c>
      <c r="Z12" s="153">
        <v>10</v>
      </c>
      <c r="AA12" s="105" t="s">
        <v>846</v>
      </c>
      <c r="AB12" s="105" t="s">
        <v>2109</v>
      </c>
      <c r="AC12" s="154">
        <v>10</v>
      </c>
      <c r="AE12" s="153">
        <v>10</v>
      </c>
      <c r="AF12" s="105" t="s">
        <v>847</v>
      </c>
      <c r="AG12" s="105" t="s">
        <v>2106</v>
      </c>
      <c r="AH12" s="154">
        <v>30</v>
      </c>
    </row>
    <row r="13" spans="1:37" ht="18">
      <c r="A13" s="153">
        <v>11</v>
      </c>
      <c r="B13" s="114" t="s">
        <v>2111</v>
      </c>
      <c r="C13" s="155">
        <v>40</v>
      </c>
      <c r="D13" s="213"/>
      <c r="E13" s="155"/>
      <c r="F13" s="104">
        <v>11</v>
      </c>
      <c r="G13" s="105" t="s">
        <v>845</v>
      </c>
      <c r="H13" s="105" t="s">
        <v>2106</v>
      </c>
      <c r="I13" s="154">
        <v>30</v>
      </c>
      <c r="K13" s="153">
        <v>11</v>
      </c>
      <c r="L13" s="105" t="s">
        <v>846</v>
      </c>
      <c r="M13" s="105" t="s">
        <v>2105</v>
      </c>
      <c r="N13" s="154">
        <v>60</v>
      </c>
      <c r="P13" s="153">
        <v>11</v>
      </c>
      <c r="Q13" s="105" t="s">
        <v>847</v>
      </c>
      <c r="R13" s="105" t="s">
        <v>2105</v>
      </c>
      <c r="S13" s="154">
        <v>60</v>
      </c>
      <c r="U13" s="153">
        <v>11</v>
      </c>
      <c r="V13" s="105" t="s">
        <v>845</v>
      </c>
      <c r="W13" s="105" t="s">
        <v>849</v>
      </c>
      <c r="X13" s="154" t="s">
        <v>819</v>
      </c>
      <c r="Y13" s="212">
        <v>0</v>
      </c>
      <c r="Z13" s="153">
        <v>11</v>
      </c>
      <c r="AA13" s="105" t="s">
        <v>846</v>
      </c>
      <c r="AB13" s="105" t="s">
        <v>2110</v>
      </c>
      <c r="AC13" s="154" t="s">
        <v>819</v>
      </c>
      <c r="AD13" s="212">
        <v>0.5</v>
      </c>
      <c r="AE13" s="153">
        <v>11</v>
      </c>
      <c r="AF13" s="105" t="s">
        <v>847</v>
      </c>
      <c r="AG13" s="105" t="s">
        <v>2107</v>
      </c>
      <c r="AH13" s="154">
        <v>20</v>
      </c>
    </row>
    <row r="14" spans="1:37" ht="18">
      <c r="A14" s="153">
        <v>12</v>
      </c>
      <c r="B14" s="114" t="s">
        <v>2113</v>
      </c>
      <c r="C14" s="155">
        <v>20</v>
      </c>
      <c r="D14" s="213"/>
      <c r="E14" s="155"/>
      <c r="F14" s="104">
        <v>12</v>
      </c>
      <c r="G14" s="105" t="s">
        <v>845</v>
      </c>
      <c r="H14" s="105" t="s">
        <v>2107</v>
      </c>
      <c r="I14" s="154">
        <v>0</v>
      </c>
      <c r="K14" s="153">
        <v>12</v>
      </c>
      <c r="L14" s="105" t="s">
        <v>846</v>
      </c>
      <c r="M14" s="105" t="s">
        <v>2106</v>
      </c>
      <c r="N14" s="154">
        <v>30</v>
      </c>
      <c r="P14" s="153">
        <v>12</v>
      </c>
      <c r="Q14" s="105" t="s">
        <v>847</v>
      </c>
      <c r="R14" s="105" t="s">
        <v>2105</v>
      </c>
      <c r="S14" s="154">
        <v>60</v>
      </c>
      <c r="U14" s="153">
        <v>12</v>
      </c>
      <c r="V14" s="105" t="s">
        <v>845</v>
      </c>
      <c r="W14" s="105" t="s">
        <v>849</v>
      </c>
      <c r="X14" s="154"/>
      <c r="Y14" s="212">
        <v>0</v>
      </c>
      <c r="Z14" s="153">
        <v>12</v>
      </c>
      <c r="AA14" s="105" t="s">
        <v>846</v>
      </c>
      <c r="AB14" s="105" t="s">
        <v>2110</v>
      </c>
      <c r="AC14" s="154"/>
      <c r="AD14" s="212">
        <v>0.5</v>
      </c>
      <c r="AE14" s="153">
        <v>12</v>
      </c>
      <c r="AF14" s="105" t="s">
        <v>847</v>
      </c>
      <c r="AG14" s="105" t="s">
        <v>2107</v>
      </c>
      <c r="AH14" s="154">
        <v>20</v>
      </c>
      <c r="AJ14" s="105" t="s">
        <v>819</v>
      </c>
    </row>
    <row r="15" spans="1:37" ht="18">
      <c r="A15" s="153">
        <v>13</v>
      </c>
      <c r="B15" s="114" t="s">
        <v>2113</v>
      </c>
      <c r="C15" s="155">
        <v>20</v>
      </c>
      <c r="D15" s="213"/>
      <c r="E15" s="155"/>
      <c r="F15" s="104">
        <v>13</v>
      </c>
      <c r="G15" s="105" t="s">
        <v>845</v>
      </c>
      <c r="H15" s="105" t="s">
        <v>2107</v>
      </c>
      <c r="I15" s="154">
        <v>0</v>
      </c>
      <c r="K15" s="153">
        <v>13</v>
      </c>
      <c r="L15" s="105" t="s">
        <v>846</v>
      </c>
      <c r="M15" s="105" t="s">
        <v>2106</v>
      </c>
      <c r="N15" s="154">
        <v>30</v>
      </c>
      <c r="P15" s="153">
        <v>13</v>
      </c>
      <c r="Q15" s="105" t="s">
        <v>847</v>
      </c>
      <c r="R15" s="105" t="s">
        <v>2105</v>
      </c>
      <c r="S15" s="154">
        <v>60</v>
      </c>
      <c r="U15" s="153">
        <v>13</v>
      </c>
      <c r="V15" s="105" t="s">
        <v>845</v>
      </c>
      <c r="W15" s="105" t="s">
        <v>849</v>
      </c>
      <c r="X15" s="154"/>
      <c r="Y15" s="212">
        <v>0</v>
      </c>
      <c r="Z15" s="153">
        <v>13</v>
      </c>
      <c r="AA15" s="105" t="s">
        <v>846</v>
      </c>
      <c r="AB15" s="105" t="s">
        <v>2110</v>
      </c>
      <c r="AC15" s="154"/>
      <c r="AD15" s="212">
        <v>0.5</v>
      </c>
      <c r="AE15" s="153">
        <v>13</v>
      </c>
      <c r="AF15" s="105" t="s">
        <v>847</v>
      </c>
      <c r="AG15" s="105" t="s">
        <v>2109</v>
      </c>
      <c r="AH15" s="154">
        <v>10</v>
      </c>
    </row>
    <row r="16" spans="1:37" ht="18">
      <c r="A16" s="153">
        <v>14</v>
      </c>
      <c r="B16" s="114" t="s">
        <v>2114</v>
      </c>
      <c r="C16" s="155">
        <v>0</v>
      </c>
      <c r="D16" s="213">
        <v>0.5</v>
      </c>
      <c r="E16" s="155"/>
      <c r="F16" s="104">
        <v>14</v>
      </c>
      <c r="G16" s="105" t="s">
        <v>845</v>
      </c>
      <c r="H16" s="105" t="s">
        <v>2109</v>
      </c>
      <c r="I16" s="154"/>
      <c r="J16" s="212">
        <v>0.75</v>
      </c>
      <c r="K16" s="153">
        <v>14</v>
      </c>
      <c r="L16" s="105" t="s">
        <v>846</v>
      </c>
      <c r="M16" s="105" t="s">
        <v>2107</v>
      </c>
      <c r="N16" s="154">
        <v>0</v>
      </c>
      <c r="P16" s="153">
        <v>14</v>
      </c>
      <c r="Q16" s="105" t="s">
        <v>847</v>
      </c>
      <c r="R16" s="105" t="s">
        <v>2106</v>
      </c>
      <c r="S16" s="154">
        <v>30</v>
      </c>
      <c r="U16" s="153">
        <v>14</v>
      </c>
      <c r="V16" s="105" t="s">
        <v>845</v>
      </c>
      <c r="W16" s="105" t="s">
        <v>849</v>
      </c>
      <c r="X16" s="154"/>
      <c r="Y16" s="212">
        <v>0</v>
      </c>
      <c r="Z16" s="153">
        <v>14</v>
      </c>
      <c r="AA16" s="105" t="s">
        <v>846</v>
      </c>
      <c r="AB16" s="105" t="s">
        <v>2112</v>
      </c>
      <c r="AC16" s="154"/>
      <c r="AD16" s="212">
        <v>0.25</v>
      </c>
      <c r="AE16" s="153">
        <v>14</v>
      </c>
      <c r="AF16" s="105" t="s">
        <v>847</v>
      </c>
      <c r="AG16" s="105" t="s">
        <v>2109</v>
      </c>
      <c r="AH16" s="154">
        <v>10</v>
      </c>
    </row>
    <row r="17" spans="1:35" ht="18">
      <c r="A17" s="153">
        <v>15</v>
      </c>
      <c r="B17" s="114" t="s">
        <v>2114</v>
      </c>
      <c r="C17" s="155">
        <v>0</v>
      </c>
      <c r="D17" s="213">
        <v>0.5</v>
      </c>
      <c r="E17" s="155"/>
      <c r="F17" s="104">
        <v>15</v>
      </c>
      <c r="G17" s="105" t="s">
        <v>845</v>
      </c>
      <c r="H17" s="105" t="s">
        <v>2109</v>
      </c>
      <c r="I17" s="154"/>
      <c r="J17" s="212">
        <v>0.75</v>
      </c>
      <c r="K17" s="153">
        <v>15</v>
      </c>
      <c r="L17" s="105" t="s">
        <v>846</v>
      </c>
      <c r="M17" s="105" t="s">
        <v>2107</v>
      </c>
      <c r="N17" s="154">
        <v>0</v>
      </c>
      <c r="P17" s="153">
        <v>15</v>
      </c>
      <c r="Q17" s="105" t="s">
        <v>847</v>
      </c>
      <c r="R17" s="105" t="s">
        <v>2106</v>
      </c>
      <c r="S17" s="154">
        <v>30</v>
      </c>
      <c r="U17" s="153">
        <v>15</v>
      </c>
      <c r="V17" s="105" t="s">
        <v>845</v>
      </c>
      <c r="W17" s="105" t="s">
        <v>849</v>
      </c>
      <c r="X17" s="154"/>
      <c r="Y17" s="212">
        <v>0</v>
      </c>
      <c r="Z17" s="153">
        <v>15</v>
      </c>
      <c r="AA17" s="105" t="s">
        <v>846</v>
      </c>
      <c r="AB17" s="105" t="s">
        <v>2112</v>
      </c>
      <c r="AC17" s="154"/>
      <c r="AD17" s="212">
        <v>0.25</v>
      </c>
      <c r="AE17" s="153">
        <v>15</v>
      </c>
      <c r="AF17" s="105" t="s">
        <v>847</v>
      </c>
      <c r="AG17" s="105" t="s">
        <v>2110</v>
      </c>
      <c r="AH17" s="154"/>
      <c r="AI17" s="212">
        <v>0.5</v>
      </c>
    </row>
    <row r="18" spans="1:35" ht="18">
      <c r="A18" s="153">
        <v>16</v>
      </c>
      <c r="B18" s="114" t="s">
        <v>2114</v>
      </c>
      <c r="C18" s="155">
        <v>0</v>
      </c>
      <c r="D18" s="213">
        <v>0.5</v>
      </c>
      <c r="E18" s="155"/>
      <c r="F18" s="104">
        <v>16</v>
      </c>
      <c r="G18" s="105" t="s">
        <v>845</v>
      </c>
      <c r="H18" s="105" t="s">
        <v>2110</v>
      </c>
      <c r="I18" s="154"/>
      <c r="J18" s="212">
        <v>0.5</v>
      </c>
      <c r="K18" s="153">
        <v>16</v>
      </c>
      <c r="L18" s="105" t="s">
        <v>846</v>
      </c>
      <c r="M18" s="105" t="s">
        <v>2107</v>
      </c>
      <c r="N18" s="154">
        <v>0</v>
      </c>
      <c r="P18" s="153">
        <v>16</v>
      </c>
      <c r="Q18" s="105" t="s">
        <v>847</v>
      </c>
      <c r="R18" s="105" t="s">
        <v>2106</v>
      </c>
      <c r="S18" s="154">
        <v>30</v>
      </c>
      <c r="U18" s="153">
        <v>16</v>
      </c>
      <c r="V18" s="105" t="s">
        <v>845</v>
      </c>
      <c r="W18" s="105" t="s">
        <v>849</v>
      </c>
      <c r="X18" s="154"/>
      <c r="Y18" s="212">
        <v>0</v>
      </c>
      <c r="Z18" s="153">
        <v>16</v>
      </c>
      <c r="AA18" s="105" t="s">
        <v>846</v>
      </c>
      <c r="AB18" s="105" t="s">
        <v>849</v>
      </c>
      <c r="AC18" s="154"/>
      <c r="AD18" s="212">
        <v>0</v>
      </c>
      <c r="AE18" s="153">
        <v>16</v>
      </c>
      <c r="AF18" s="105" t="s">
        <v>847</v>
      </c>
      <c r="AG18" s="105" t="s">
        <v>2110</v>
      </c>
      <c r="AH18" s="154"/>
      <c r="AI18" s="212">
        <v>0.5</v>
      </c>
    </row>
    <row r="19" spans="1:35" ht="18">
      <c r="A19" s="153">
        <v>17</v>
      </c>
      <c r="B19" s="114" t="s">
        <v>2114</v>
      </c>
      <c r="C19" s="155">
        <v>0</v>
      </c>
      <c r="D19" s="213">
        <v>0.5</v>
      </c>
      <c r="E19" s="155"/>
      <c r="F19" s="104">
        <v>17</v>
      </c>
      <c r="G19" s="105" t="s">
        <v>845</v>
      </c>
      <c r="H19" s="105" t="s">
        <v>2110</v>
      </c>
      <c r="I19" s="154"/>
      <c r="J19" s="212">
        <v>0.5</v>
      </c>
      <c r="K19" s="153">
        <v>17</v>
      </c>
      <c r="L19" s="105" t="s">
        <v>846</v>
      </c>
      <c r="M19" s="105" t="s">
        <v>2107</v>
      </c>
      <c r="N19" s="154">
        <v>0</v>
      </c>
      <c r="P19" s="153">
        <v>17</v>
      </c>
      <c r="Q19" s="105" t="s">
        <v>847</v>
      </c>
      <c r="R19" s="105" t="s">
        <v>2106</v>
      </c>
      <c r="S19" s="154">
        <v>30</v>
      </c>
      <c r="U19" s="153">
        <v>17</v>
      </c>
      <c r="V19" s="105" t="s">
        <v>845</v>
      </c>
      <c r="W19" s="105" t="s">
        <v>849</v>
      </c>
      <c r="X19" s="154"/>
      <c r="Y19" s="212">
        <v>0</v>
      </c>
      <c r="Z19" s="153">
        <v>17</v>
      </c>
      <c r="AA19" s="105" t="s">
        <v>846</v>
      </c>
      <c r="AB19" s="105" t="s">
        <v>849</v>
      </c>
      <c r="AC19" s="154"/>
      <c r="AD19" s="212">
        <v>0</v>
      </c>
      <c r="AE19" s="153">
        <v>17</v>
      </c>
      <c r="AF19" s="105" t="s">
        <v>847</v>
      </c>
      <c r="AG19" s="105" t="s">
        <v>2110</v>
      </c>
      <c r="AH19" s="154"/>
      <c r="AI19" s="212">
        <v>0.5</v>
      </c>
    </row>
    <row r="20" spans="1:35" ht="18">
      <c r="A20" s="153">
        <v>18</v>
      </c>
      <c r="B20" s="114" t="s">
        <v>2115</v>
      </c>
      <c r="C20" s="155">
        <v>0</v>
      </c>
      <c r="D20" s="213">
        <v>0.5</v>
      </c>
      <c r="E20" s="155"/>
      <c r="F20" s="104">
        <v>18</v>
      </c>
      <c r="G20" s="105" t="s">
        <v>845</v>
      </c>
      <c r="H20" s="105" t="s">
        <v>2110</v>
      </c>
      <c r="I20" s="154"/>
      <c r="J20" s="212">
        <v>0.5</v>
      </c>
      <c r="K20" s="153">
        <v>18</v>
      </c>
      <c r="L20" s="105" t="s">
        <v>846</v>
      </c>
      <c r="M20" s="105" t="s">
        <v>2109</v>
      </c>
      <c r="N20" s="154"/>
      <c r="O20" s="212">
        <v>0.75</v>
      </c>
      <c r="P20" s="153">
        <v>18</v>
      </c>
      <c r="Q20" s="105" t="s">
        <v>847</v>
      </c>
      <c r="R20" s="105" t="s">
        <v>2107</v>
      </c>
      <c r="S20" s="154">
        <v>0</v>
      </c>
      <c r="U20" s="153">
        <v>18</v>
      </c>
      <c r="V20" s="105" t="s">
        <v>845</v>
      </c>
      <c r="W20" s="105" t="s">
        <v>849</v>
      </c>
      <c r="X20" s="154"/>
      <c r="Y20" s="212">
        <v>0</v>
      </c>
      <c r="Z20" s="153">
        <v>18</v>
      </c>
      <c r="AA20" s="105" t="s">
        <v>846</v>
      </c>
      <c r="AB20" s="105" t="s">
        <v>849</v>
      </c>
      <c r="AC20" s="154"/>
      <c r="AD20" s="212">
        <v>0</v>
      </c>
      <c r="AE20" s="153">
        <v>18</v>
      </c>
      <c r="AF20" s="105" t="s">
        <v>847</v>
      </c>
      <c r="AG20" s="105" t="s">
        <v>2110</v>
      </c>
      <c r="AH20" s="154"/>
      <c r="AI20" s="212">
        <v>0.5</v>
      </c>
    </row>
    <row r="21" spans="1:35" ht="18">
      <c r="A21" s="153">
        <v>19</v>
      </c>
      <c r="B21" s="114" t="s">
        <v>2115</v>
      </c>
      <c r="C21" s="155">
        <v>0</v>
      </c>
      <c r="D21" s="213">
        <v>0.5</v>
      </c>
      <c r="E21" s="155"/>
      <c r="F21" s="104">
        <v>19</v>
      </c>
      <c r="G21" s="105" t="s">
        <v>845</v>
      </c>
      <c r="H21" s="105" t="s">
        <v>2110</v>
      </c>
      <c r="I21" s="154"/>
      <c r="J21" s="212">
        <v>0.5</v>
      </c>
      <c r="K21" s="153">
        <v>19</v>
      </c>
      <c r="L21" s="105" t="s">
        <v>846</v>
      </c>
      <c r="M21" s="105" t="s">
        <v>2109</v>
      </c>
      <c r="N21" s="154"/>
      <c r="O21" s="212">
        <v>0.75</v>
      </c>
      <c r="P21" s="153">
        <v>19</v>
      </c>
      <c r="Q21" s="105" t="s">
        <v>847</v>
      </c>
      <c r="R21" s="105" t="s">
        <v>2107</v>
      </c>
      <c r="S21" s="154">
        <v>0</v>
      </c>
      <c r="U21" s="153">
        <v>19</v>
      </c>
      <c r="V21" s="105" t="s">
        <v>845</v>
      </c>
      <c r="W21" s="105" t="s">
        <v>849</v>
      </c>
      <c r="X21" s="154"/>
      <c r="Y21" s="212">
        <v>0</v>
      </c>
      <c r="Z21" s="153">
        <v>19</v>
      </c>
      <c r="AA21" s="105" t="s">
        <v>846</v>
      </c>
      <c r="AB21" s="105" t="s">
        <v>849</v>
      </c>
      <c r="AC21" s="154"/>
      <c r="AD21" s="212">
        <v>0</v>
      </c>
      <c r="AE21" s="153">
        <v>19</v>
      </c>
      <c r="AF21" s="105" t="s">
        <v>847</v>
      </c>
      <c r="AG21" s="105" t="s">
        <v>2112</v>
      </c>
      <c r="AH21" s="154"/>
      <c r="AI21" s="212">
        <v>0.25</v>
      </c>
    </row>
    <row r="22" spans="1:35" ht="18">
      <c r="A22" s="153">
        <v>20</v>
      </c>
      <c r="B22" s="114" t="s">
        <v>2115</v>
      </c>
      <c r="C22" s="155">
        <v>0</v>
      </c>
      <c r="D22" s="213">
        <v>0.5</v>
      </c>
      <c r="E22" s="155"/>
      <c r="F22" s="104">
        <v>20</v>
      </c>
      <c r="G22" s="105" t="s">
        <v>845</v>
      </c>
      <c r="H22" s="105" t="s">
        <v>2112</v>
      </c>
      <c r="I22" s="154"/>
      <c r="J22" s="212">
        <v>0.25</v>
      </c>
      <c r="K22" s="153">
        <v>20</v>
      </c>
      <c r="L22" s="105" t="s">
        <v>846</v>
      </c>
      <c r="M22" s="105" t="s">
        <v>2109</v>
      </c>
      <c r="N22" s="154"/>
      <c r="O22" s="212">
        <v>0.75</v>
      </c>
      <c r="P22" s="153">
        <v>20</v>
      </c>
      <c r="Q22" s="105" t="s">
        <v>847</v>
      </c>
      <c r="R22" s="105" t="s">
        <v>2107</v>
      </c>
      <c r="S22" s="154">
        <v>0</v>
      </c>
      <c r="U22" s="153">
        <v>20</v>
      </c>
      <c r="V22" s="105" t="s">
        <v>845</v>
      </c>
      <c r="W22" s="105" t="s">
        <v>849</v>
      </c>
      <c r="X22" s="154"/>
      <c r="Y22" s="212">
        <v>0</v>
      </c>
      <c r="Z22" s="153">
        <v>20</v>
      </c>
      <c r="AA22" s="105" t="s">
        <v>846</v>
      </c>
      <c r="AB22" s="105" t="s">
        <v>849</v>
      </c>
      <c r="AC22" s="154"/>
      <c r="AD22" s="212">
        <v>0</v>
      </c>
      <c r="AE22" s="153">
        <v>20</v>
      </c>
      <c r="AF22" s="105" t="s">
        <v>847</v>
      </c>
      <c r="AG22" s="105" t="s">
        <v>2112</v>
      </c>
      <c r="AH22" s="154"/>
      <c r="AI22" s="212">
        <v>0.25</v>
      </c>
    </row>
    <row r="23" spans="1:35" ht="18">
      <c r="A23" s="153">
        <v>21</v>
      </c>
      <c r="B23" s="114" t="s">
        <v>2116</v>
      </c>
      <c r="C23" s="155">
        <v>0</v>
      </c>
      <c r="D23" s="213">
        <v>0.5</v>
      </c>
      <c r="E23" s="155"/>
      <c r="F23" s="104">
        <v>21</v>
      </c>
      <c r="G23" s="105" t="s">
        <v>845</v>
      </c>
      <c r="H23" s="105" t="s">
        <v>2112</v>
      </c>
      <c r="I23" s="154"/>
      <c r="J23" s="212">
        <v>0.25</v>
      </c>
      <c r="K23" s="153">
        <v>21</v>
      </c>
      <c r="L23" s="105" t="s">
        <v>846</v>
      </c>
      <c r="M23" s="105" t="s">
        <v>2110</v>
      </c>
      <c r="N23" s="154"/>
      <c r="O23" s="212">
        <v>0.5</v>
      </c>
      <c r="P23" s="153">
        <v>21</v>
      </c>
      <c r="Q23" s="105" t="s">
        <v>847</v>
      </c>
      <c r="R23" s="105" t="s">
        <v>2107</v>
      </c>
      <c r="S23" s="154">
        <v>0</v>
      </c>
      <c r="U23" s="153">
        <v>21</v>
      </c>
      <c r="V23" s="105" t="s">
        <v>845</v>
      </c>
      <c r="W23" s="105" t="s">
        <v>849</v>
      </c>
      <c r="X23" s="154"/>
      <c r="Y23" s="212">
        <v>0</v>
      </c>
      <c r="Z23" s="153">
        <v>21</v>
      </c>
      <c r="AA23" s="105" t="s">
        <v>846</v>
      </c>
      <c r="AB23" s="105" t="s">
        <v>849</v>
      </c>
      <c r="AC23" s="154"/>
      <c r="AD23" s="212">
        <v>0</v>
      </c>
      <c r="AE23" s="153">
        <v>21</v>
      </c>
      <c r="AF23" s="105" t="s">
        <v>847</v>
      </c>
      <c r="AG23" s="105" t="s">
        <v>2112</v>
      </c>
      <c r="AH23" s="154"/>
      <c r="AI23" s="212">
        <v>0.25</v>
      </c>
    </row>
    <row r="24" spans="1:35" ht="18">
      <c r="A24" s="153">
        <v>22</v>
      </c>
      <c r="B24" s="114" t="s">
        <v>2116</v>
      </c>
      <c r="C24" s="155">
        <v>0</v>
      </c>
      <c r="D24" s="213">
        <v>0.5</v>
      </c>
      <c r="E24" s="155"/>
      <c r="F24" s="104">
        <v>22</v>
      </c>
      <c r="G24" s="105" t="s">
        <v>845</v>
      </c>
      <c r="H24" s="105" t="s">
        <v>2112</v>
      </c>
      <c r="I24" s="154"/>
      <c r="J24" s="212">
        <v>0.25</v>
      </c>
      <c r="K24" s="153">
        <v>22</v>
      </c>
      <c r="L24" s="105" t="s">
        <v>846</v>
      </c>
      <c r="M24" s="105" t="s">
        <v>2110</v>
      </c>
      <c r="N24" s="154"/>
      <c r="O24" s="212">
        <v>0.5</v>
      </c>
      <c r="P24" s="153">
        <v>22</v>
      </c>
      <c r="Q24" s="105" t="s">
        <v>847</v>
      </c>
      <c r="R24" s="105" t="s">
        <v>2109</v>
      </c>
      <c r="S24" s="154"/>
      <c r="T24" s="212">
        <v>0.75</v>
      </c>
      <c r="U24" s="153">
        <v>22</v>
      </c>
      <c r="V24" s="105" t="s">
        <v>845</v>
      </c>
      <c r="W24" s="105" t="s">
        <v>849</v>
      </c>
      <c r="X24" s="154"/>
      <c r="Y24" s="212">
        <v>0</v>
      </c>
      <c r="Z24" s="153">
        <v>22</v>
      </c>
      <c r="AA24" s="105" t="s">
        <v>846</v>
      </c>
      <c r="AB24" s="105" t="s">
        <v>849</v>
      </c>
      <c r="AC24" s="154"/>
      <c r="AD24" s="212">
        <v>0</v>
      </c>
      <c r="AE24" s="153">
        <v>22</v>
      </c>
      <c r="AF24" s="105" t="s">
        <v>847</v>
      </c>
      <c r="AG24" s="105" t="s">
        <v>849</v>
      </c>
      <c r="AH24" s="154"/>
      <c r="AI24" s="212">
        <v>0</v>
      </c>
    </row>
    <row r="25" spans="1:35" ht="18">
      <c r="A25" s="153">
        <v>23</v>
      </c>
      <c r="B25" s="114" t="s">
        <v>2116</v>
      </c>
      <c r="C25" s="155">
        <v>0</v>
      </c>
      <c r="D25" s="213">
        <v>0.5</v>
      </c>
      <c r="E25" s="155"/>
      <c r="F25" s="104">
        <v>23</v>
      </c>
      <c r="G25" s="105" t="s">
        <v>845</v>
      </c>
      <c r="H25" s="105" t="s">
        <v>2112</v>
      </c>
      <c r="I25" s="154"/>
      <c r="J25" s="212">
        <v>0.25</v>
      </c>
      <c r="K25" s="153">
        <v>23</v>
      </c>
      <c r="L25" s="105" t="s">
        <v>846</v>
      </c>
      <c r="M25" s="105" t="s">
        <v>2110</v>
      </c>
      <c r="N25" s="154"/>
      <c r="O25" s="212">
        <v>0.5</v>
      </c>
      <c r="P25" s="153">
        <v>23</v>
      </c>
      <c r="Q25" s="105" t="s">
        <v>847</v>
      </c>
      <c r="R25" s="105" t="s">
        <v>2109</v>
      </c>
      <c r="S25" s="154"/>
      <c r="T25" s="212">
        <v>0.75</v>
      </c>
      <c r="U25" s="153">
        <v>23</v>
      </c>
      <c r="V25" s="105" t="s">
        <v>845</v>
      </c>
      <c r="W25" s="105" t="s">
        <v>849</v>
      </c>
      <c r="X25" s="154"/>
      <c r="Y25" s="212">
        <v>0</v>
      </c>
      <c r="Z25" s="153">
        <v>23</v>
      </c>
      <c r="AA25" s="105" t="s">
        <v>846</v>
      </c>
      <c r="AB25" s="105" t="s">
        <v>849</v>
      </c>
      <c r="AC25" s="154"/>
      <c r="AD25" s="212">
        <v>0</v>
      </c>
      <c r="AE25" s="153">
        <v>23</v>
      </c>
      <c r="AF25" s="105" t="s">
        <v>847</v>
      </c>
      <c r="AG25" s="105" t="s">
        <v>849</v>
      </c>
      <c r="AH25" s="154"/>
      <c r="AI25" s="212">
        <v>0</v>
      </c>
    </row>
    <row r="26" spans="1:35" ht="18">
      <c r="A26" s="153">
        <v>24</v>
      </c>
      <c r="B26" s="114" t="s">
        <v>2116</v>
      </c>
      <c r="C26" s="155">
        <v>0</v>
      </c>
      <c r="D26" s="213">
        <v>0.5</v>
      </c>
      <c r="E26" s="155"/>
      <c r="F26" s="104">
        <v>24</v>
      </c>
      <c r="G26" s="105" t="s">
        <v>845</v>
      </c>
      <c r="H26" s="105" t="s">
        <v>849</v>
      </c>
      <c r="I26" s="154"/>
      <c r="J26" s="212">
        <v>0</v>
      </c>
      <c r="K26" s="153">
        <v>24</v>
      </c>
      <c r="L26" s="105" t="s">
        <v>846</v>
      </c>
      <c r="M26" s="105" t="s">
        <v>2110</v>
      </c>
      <c r="N26" s="154"/>
      <c r="O26" s="212">
        <v>0.5</v>
      </c>
      <c r="P26" s="153">
        <v>24</v>
      </c>
      <c r="Q26" s="105" t="s">
        <v>847</v>
      </c>
      <c r="R26" s="105" t="s">
        <v>2109</v>
      </c>
      <c r="S26" s="154"/>
      <c r="T26" s="212">
        <v>0.75</v>
      </c>
      <c r="U26" s="153">
        <v>24</v>
      </c>
      <c r="V26" s="105" t="s">
        <v>845</v>
      </c>
      <c r="W26" s="105" t="s">
        <v>849</v>
      </c>
      <c r="X26" s="154"/>
      <c r="Y26" s="212">
        <v>0</v>
      </c>
      <c r="Z26" s="153">
        <v>24</v>
      </c>
      <c r="AA26" s="105" t="s">
        <v>846</v>
      </c>
      <c r="AB26" s="105" t="s">
        <v>849</v>
      </c>
      <c r="AC26" s="154"/>
      <c r="AD26" s="212">
        <v>0</v>
      </c>
      <c r="AE26" s="153">
        <v>24</v>
      </c>
      <c r="AF26" s="105" t="s">
        <v>847</v>
      </c>
      <c r="AG26" s="105" t="s">
        <v>849</v>
      </c>
      <c r="AH26" s="154"/>
      <c r="AI26" s="212">
        <v>0</v>
      </c>
    </row>
    <row r="27" spans="1:35" ht="18">
      <c r="A27" s="153">
        <v>25</v>
      </c>
      <c r="B27" s="114" t="s">
        <v>2116</v>
      </c>
      <c r="C27" s="155">
        <v>0</v>
      </c>
      <c r="D27" s="213">
        <v>0.5</v>
      </c>
      <c r="E27" s="155"/>
      <c r="F27" s="104">
        <v>25</v>
      </c>
      <c r="G27" s="105" t="s">
        <v>845</v>
      </c>
      <c r="H27" s="105" t="s">
        <v>849</v>
      </c>
      <c r="I27" s="154"/>
      <c r="J27" s="212">
        <v>0</v>
      </c>
      <c r="K27" s="153">
        <v>25</v>
      </c>
      <c r="L27" s="105" t="s">
        <v>846</v>
      </c>
      <c r="M27" s="105" t="s">
        <v>2110</v>
      </c>
      <c r="N27" s="154"/>
      <c r="O27" s="212">
        <v>0.5</v>
      </c>
      <c r="P27" s="153">
        <v>25</v>
      </c>
      <c r="Q27" s="105" t="s">
        <v>847</v>
      </c>
      <c r="R27" s="105" t="s">
        <v>2109</v>
      </c>
      <c r="S27" s="154"/>
      <c r="T27" s="212">
        <v>0.75</v>
      </c>
      <c r="U27" s="153">
        <v>25</v>
      </c>
      <c r="V27" s="105" t="s">
        <v>845</v>
      </c>
      <c r="W27" s="105" t="s">
        <v>849</v>
      </c>
      <c r="X27" s="154"/>
      <c r="Y27" s="212">
        <v>0</v>
      </c>
      <c r="Z27" s="153">
        <v>25</v>
      </c>
      <c r="AA27" s="105" t="s">
        <v>846</v>
      </c>
      <c r="AB27" s="105" t="s">
        <v>849</v>
      </c>
      <c r="AC27" s="154"/>
      <c r="AD27" s="212">
        <v>0</v>
      </c>
      <c r="AE27" s="153">
        <v>25</v>
      </c>
      <c r="AF27" s="105" t="s">
        <v>847</v>
      </c>
      <c r="AG27" s="105" t="s">
        <v>849</v>
      </c>
      <c r="AH27" s="154"/>
      <c r="AI27" s="212">
        <v>0</v>
      </c>
    </row>
    <row r="28" spans="1:35" ht="18">
      <c r="A28" s="153">
        <v>26</v>
      </c>
      <c r="B28" s="114" t="s">
        <v>2117</v>
      </c>
      <c r="C28" s="155">
        <v>0</v>
      </c>
      <c r="D28" s="213">
        <v>0.5</v>
      </c>
      <c r="E28" s="155"/>
      <c r="F28" s="104">
        <v>26</v>
      </c>
      <c r="G28" s="105" t="s">
        <v>845</v>
      </c>
      <c r="H28" s="105" t="s">
        <v>849</v>
      </c>
      <c r="I28" s="154"/>
      <c r="J28" s="212">
        <v>0</v>
      </c>
      <c r="K28" s="153">
        <v>26</v>
      </c>
      <c r="L28" s="105" t="s">
        <v>846</v>
      </c>
      <c r="M28" s="105" t="s">
        <v>2112</v>
      </c>
      <c r="N28" s="154"/>
      <c r="O28" s="212">
        <v>0.25</v>
      </c>
      <c r="P28" s="153">
        <v>26</v>
      </c>
      <c r="Q28" s="105" t="s">
        <v>847</v>
      </c>
      <c r="R28" s="105" t="s">
        <v>2110</v>
      </c>
      <c r="S28" s="154"/>
      <c r="T28" s="212">
        <v>0.5</v>
      </c>
      <c r="U28" s="153">
        <v>26</v>
      </c>
      <c r="V28" s="105" t="s">
        <v>845</v>
      </c>
      <c r="W28" s="105" t="s">
        <v>849</v>
      </c>
      <c r="X28" s="154"/>
      <c r="Y28" s="212">
        <v>0</v>
      </c>
      <c r="Z28" s="153">
        <v>26</v>
      </c>
      <c r="AA28" s="105" t="s">
        <v>846</v>
      </c>
      <c r="AB28" s="105" t="s">
        <v>849</v>
      </c>
      <c r="AC28" s="154"/>
      <c r="AD28" s="212">
        <v>0</v>
      </c>
      <c r="AE28" s="153">
        <v>26</v>
      </c>
      <c r="AF28" s="105" t="s">
        <v>847</v>
      </c>
      <c r="AG28" s="105" t="s">
        <v>849</v>
      </c>
      <c r="AH28" s="154"/>
      <c r="AI28" s="212">
        <v>0</v>
      </c>
    </row>
    <row r="29" spans="1:35" ht="18">
      <c r="A29" s="153">
        <v>27</v>
      </c>
      <c r="B29" s="114" t="s">
        <v>2117</v>
      </c>
      <c r="C29" s="155">
        <v>0</v>
      </c>
      <c r="D29" s="213">
        <v>0.5</v>
      </c>
      <c r="E29" s="155"/>
      <c r="F29" s="104">
        <v>27</v>
      </c>
      <c r="G29" s="105" t="s">
        <v>845</v>
      </c>
      <c r="H29" s="105" t="s">
        <v>849</v>
      </c>
      <c r="I29" s="154"/>
      <c r="J29" s="212">
        <v>0</v>
      </c>
      <c r="K29" s="153">
        <v>27</v>
      </c>
      <c r="L29" s="105" t="s">
        <v>846</v>
      </c>
      <c r="M29" s="105" t="s">
        <v>2112</v>
      </c>
      <c r="N29" s="154"/>
      <c r="O29" s="212">
        <v>0.25</v>
      </c>
      <c r="P29" s="153">
        <v>27</v>
      </c>
      <c r="Q29" s="105" t="s">
        <v>847</v>
      </c>
      <c r="R29" s="105" t="s">
        <v>2110</v>
      </c>
      <c r="S29" s="154"/>
      <c r="T29" s="212">
        <v>0.5</v>
      </c>
      <c r="U29" s="153">
        <v>27</v>
      </c>
      <c r="V29" s="105" t="s">
        <v>845</v>
      </c>
      <c r="W29" s="105" t="s">
        <v>849</v>
      </c>
      <c r="X29" s="154"/>
      <c r="Y29" s="212">
        <v>0</v>
      </c>
      <c r="Z29" s="153">
        <v>27</v>
      </c>
      <c r="AA29" s="105" t="s">
        <v>846</v>
      </c>
      <c r="AB29" s="105" t="s">
        <v>849</v>
      </c>
      <c r="AC29" s="154"/>
      <c r="AD29" s="212">
        <v>0</v>
      </c>
      <c r="AE29" s="153">
        <v>27</v>
      </c>
      <c r="AF29" s="105" t="s">
        <v>847</v>
      </c>
      <c r="AG29" s="105" t="s">
        <v>849</v>
      </c>
      <c r="AH29" s="154"/>
      <c r="AI29" s="212">
        <v>0</v>
      </c>
    </row>
    <row r="30" spans="1:35" ht="18">
      <c r="A30" s="153">
        <v>28</v>
      </c>
      <c r="B30" s="114" t="s">
        <v>2117</v>
      </c>
      <c r="C30" s="155">
        <v>0</v>
      </c>
      <c r="D30" s="213">
        <v>0</v>
      </c>
      <c r="E30" s="155"/>
      <c r="F30" s="104">
        <v>28</v>
      </c>
      <c r="G30" s="105" t="s">
        <v>845</v>
      </c>
      <c r="H30" s="105" t="s">
        <v>849</v>
      </c>
      <c r="I30" s="154"/>
      <c r="J30" s="212">
        <v>0</v>
      </c>
      <c r="K30" s="153">
        <v>28</v>
      </c>
      <c r="L30" s="105" t="s">
        <v>846</v>
      </c>
      <c r="M30" s="105" t="s">
        <v>2112</v>
      </c>
      <c r="N30" s="154"/>
      <c r="O30" s="212">
        <v>0.25</v>
      </c>
      <c r="P30" s="153">
        <v>28</v>
      </c>
      <c r="Q30" s="105" t="s">
        <v>847</v>
      </c>
      <c r="R30" s="105" t="s">
        <v>2110</v>
      </c>
      <c r="S30" s="154"/>
      <c r="T30" s="212">
        <v>0.5</v>
      </c>
      <c r="U30" s="153">
        <v>28</v>
      </c>
      <c r="V30" s="105" t="s">
        <v>845</v>
      </c>
      <c r="W30" s="105" t="s">
        <v>849</v>
      </c>
      <c r="X30" s="154"/>
      <c r="Y30" s="212">
        <v>0</v>
      </c>
      <c r="Z30" s="153">
        <v>28</v>
      </c>
      <c r="AA30" s="105" t="s">
        <v>846</v>
      </c>
      <c r="AB30" s="105" t="s">
        <v>849</v>
      </c>
      <c r="AC30" s="154"/>
      <c r="AD30" s="212">
        <v>0</v>
      </c>
      <c r="AE30" s="153">
        <v>28</v>
      </c>
      <c r="AF30" s="105" t="s">
        <v>847</v>
      </c>
      <c r="AG30" s="105" t="s">
        <v>849</v>
      </c>
      <c r="AH30" s="154"/>
      <c r="AI30" s="212">
        <v>0</v>
      </c>
    </row>
    <row r="31" spans="1:35" ht="18">
      <c r="A31" s="153">
        <v>29</v>
      </c>
      <c r="B31" s="114" t="s">
        <v>2117</v>
      </c>
      <c r="C31" s="155">
        <v>0</v>
      </c>
      <c r="D31" s="213">
        <v>0</v>
      </c>
      <c r="E31" s="155"/>
      <c r="F31" s="104">
        <v>29</v>
      </c>
      <c r="G31" s="105" t="s">
        <v>845</v>
      </c>
      <c r="H31" s="105" t="s">
        <v>849</v>
      </c>
      <c r="I31" s="154"/>
      <c r="J31" s="212">
        <v>0</v>
      </c>
      <c r="K31" s="153">
        <v>29</v>
      </c>
      <c r="L31" s="105" t="s">
        <v>846</v>
      </c>
      <c r="M31" s="105" t="s">
        <v>2112</v>
      </c>
      <c r="N31" s="154"/>
      <c r="O31" s="212">
        <v>0.25</v>
      </c>
      <c r="P31" s="153">
        <v>29</v>
      </c>
      <c r="Q31" s="105" t="s">
        <v>847</v>
      </c>
      <c r="R31" s="105" t="s">
        <v>2110</v>
      </c>
      <c r="S31" s="154"/>
      <c r="T31" s="212">
        <v>0.5</v>
      </c>
      <c r="U31" s="153">
        <v>29</v>
      </c>
      <c r="V31" s="105" t="s">
        <v>845</v>
      </c>
      <c r="W31" s="105" t="s">
        <v>849</v>
      </c>
      <c r="X31" s="154"/>
      <c r="Y31" s="212">
        <v>0</v>
      </c>
      <c r="Z31" s="153">
        <v>29</v>
      </c>
      <c r="AA31" s="105" t="s">
        <v>846</v>
      </c>
      <c r="AB31" s="105" t="s">
        <v>849</v>
      </c>
      <c r="AC31" s="154"/>
      <c r="AD31" s="212">
        <v>0</v>
      </c>
      <c r="AE31" s="153">
        <v>29</v>
      </c>
      <c r="AF31" s="105" t="s">
        <v>847</v>
      </c>
      <c r="AG31" s="105" t="s">
        <v>849</v>
      </c>
      <c r="AH31" s="154"/>
      <c r="AI31" s="212">
        <v>0</v>
      </c>
    </row>
    <row r="32" spans="1:35" ht="18">
      <c r="A32" s="153">
        <v>30</v>
      </c>
      <c r="B32" s="114" t="s">
        <v>2117</v>
      </c>
      <c r="C32" s="155">
        <v>0</v>
      </c>
      <c r="D32" s="213">
        <v>0</v>
      </c>
      <c r="E32" s="155"/>
      <c r="F32" s="104">
        <v>30</v>
      </c>
      <c r="G32" s="105" t="s">
        <v>845</v>
      </c>
      <c r="H32" s="105" t="s">
        <v>849</v>
      </c>
      <c r="I32" s="154"/>
      <c r="J32" s="212">
        <v>0</v>
      </c>
      <c r="K32" s="153">
        <v>30</v>
      </c>
      <c r="L32" s="105" t="s">
        <v>846</v>
      </c>
      <c r="M32" s="105" t="s">
        <v>2112</v>
      </c>
      <c r="N32" s="154"/>
      <c r="O32" s="212">
        <v>0.25</v>
      </c>
      <c r="P32" s="153">
        <v>30</v>
      </c>
      <c r="Q32" s="105" t="s">
        <v>847</v>
      </c>
      <c r="R32" s="105" t="s">
        <v>2110</v>
      </c>
      <c r="S32" s="154"/>
      <c r="T32" s="212">
        <v>0.5</v>
      </c>
      <c r="U32" s="153">
        <v>30</v>
      </c>
      <c r="V32" s="105" t="s">
        <v>845</v>
      </c>
      <c r="W32" s="105" t="s">
        <v>849</v>
      </c>
      <c r="X32" s="154"/>
      <c r="Y32" s="212">
        <v>0</v>
      </c>
      <c r="Z32" s="153">
        <v>30</v>
      </c>
      <c r="AA32" s="105" t="s">
        <v>846</v>
      </c>
      <c r="AB32" s="105" t="s">
        <v>849</v>
      </c>
      <c r="AC32" s="154"/>
      <c r="AD32" s="212">
        <v>0</v>
      </c>
      <c r="AE32" s="153">
        <v>30</v>
      </c>
      <c r="AF32" s="105" t="s">
        <v>847</v>
      </c>
      <c r="AG32" s="105" t="s">
        <v>849</v>
      </c>
      <c r="AH32" s="154"/>
      <c r="AI32" s="212">
        <v>0</v>
      </c>
    </row>
    <row r="33" spans="1:35" ht="18">
      <c r="A33" s="153">
        <v>31</v>
      </c>
      <c r="B33" s="114" t="s">
        <v>849</v>
      </c>
      <c r="C33" s="155">
        <v>0</v>
      </c>
      <c r="D33" s="213">
        <v>0</v>
      </c>
      <c r="E33" s="155"/>
      <c r="F33" s="104">
        <v>31</v>
      </c>
      <c r="G33" s="105" t="s">
        <v>845</v>
      </c>
      <c r="H33" s="105" t="s">
        <v>849</v>
      </c>
      <c r="I33" s="154"/>
      <c r="J33" s="212">
        <v>0</v>
      </c>
      <c r="K33" s="153">
        <v>31</v>
      </c>
      <c r="L33" s="105" t="s">
        <v>846</v>
      </c>
      <c r="M33" s="105" t="s">
        <v>849</v>
      </c>
      <c r="N33" s="154"/>
      <c r="O33" s="212">
        <v>0</v>
      </c>
      <c r="P33" s="153">
        <v>31</v>
      </c>
      <c r="Q33" s="105" t="s">
        <v>847</v>
      </c>
      <c r="R33" s="105" t="s">
        <v>2110</v>
      </c>
      <c r="S33" s="154"/>
      <c r="T33" s="212">
        <v>0.5</v>
      </c>
      <c r="U33" s="153">
        <v>31</v>
      </c>
      <c r="V33" s="105" t="s">
        <v>845</v>
      </c>
      <c r="W33" s="105" t="s">
        <v>849</v>
      </c>
      <c r="X33" s="154"/>
      <c r="Y33" s="212">
        <v>0</v>
      </c>
      <c r="Z33" s="153">
        <v>31</v>
      </c>
      <c r="AA33" s="105" t="s">
        <v>846</v>
      </c>
      <c r="AB33" s="105" t="s">
        <v>849</v>
      </c>
      <c r="AC33" s="154"/>
      <c r="AD33" s="212">
        <v>0</v>
      </c>
      <c r="AE33" s="153">
        <v>31</v>
      </c>
      <c r="AF33" s="105" t="s">
        <v>847</v>
      </c>
      <c r="AG33" s="105" t="s">
        <v>849</v>
      </c>
      <c r="AH33" s="154"/>
      <c r="AI33" s="212">
        <v>0</v>
      </c>
    </row>
    <row r="34" spans="1:35" ht="18">
      <c r="A34" s="153">
        <v>32</v>
      </c>
      <c r="B34" s="114" t="s">
        <v>849</v>
      </c>
      <c r="C34" s="155">
        <v>0</v>
      </c>
      <c r="D34" s="213">
        <v>0</v>
      </c>
      <c r="E34" s="155"/>
      <c r="F34" s="104">
        <v>32</v>
      </c>
      <c r="G34" s="105" t="s">
        <v>845</v>
      </c>
      <c r="H34" s="105" t="s">
        <v>849</v>
      </c>
      <c r="I34" s="154"/>
      <c r="J34" s="212">
        <v>0</v>
      </c>
      <c r="K34" s="153">
        <v>32</v>
      </c>
      <c r="L34" s="105" t="s">
        <v>846</v>
      </c>
      <c r="M34" s="105" t="s">
        <v>849</v>
      </c>
      <c r="N34" s="154"/>
      <c r="O34" s="212">
        <v>0</v>
      </c>
      <c r="P34" s="153">
        <v>32</v>
      </c>
      <c r="Q34" s="105" t="s">
        <v>847</v>
      </c>
      <c r="R34" s="105" t="s">
        <v>2110</v>
      </c>
      <c r="S34" s="154"/>
      <c r="T34" s="212">
        <v>0.5</v>
      </c>
      <c r="U34" s="153">
        <v>32</v>
      </c>
      <c r="V34" s="105" t="s">
        <v>845</v>
      </c>
      <c r="W34" s="105" t="s">
        <v>849</v>
      </c>
      <c r="X34" s="154"/>
      <c r="Y34" s="212">
        <v>0</v>
      </c>
      <c r="Z34" s="153">
        <v>32</v>
      </c>
      <c r="AA34" s="105" t="s">
        <v>846</v>
      </c>
      <c r="AB34" s="105" t="s">
        <v>849</v>
      </c>
      <c r="AC34" s="154"/>
      <c r="AD34" s="212">
        <v>0</v>
      </c>
      <c r="AE34" s="153">
        <v>32</v>
      </c>
      <c r="AF34" s="105" t="s">
        <v>847</v>
      </c>
      <c r="AG34" s="105" t="s">
        <v>849</v>
      </c>
      <c r="AH34" s="154"/>
      <c r="AI34" s="212">
        <v>0</v>
      </c>
    </row>
    <row r="35" spans="1:35" ht="18">
      <c r="A35" s="153">
        <v>33</v>
      </c>
      <c r="B35" s="114" t="s">
        <v>849</v>
      </c>
      <c r="C35" s="155">
        <v>0</v>
      </c>
      <c r="D35" s="213">
        <v>0</v>
      </c>
      <c r="E35" s="155"/>
      <c r="F35" s="104">
        <v>33</v>
      </c>
      <c r="G35" s="105" t="s">
        <v>845</v>
      </c>
      <c r="H35" s="105" t="s">
        <v>849</v>
      </c>
      <c r="I35" s="154"/>
      <c r="J35" s="212">
        <v>0</v>
      </c>
      <c r="K35" s="153">
        <v>33</v>
      </c>
      <c r="L35" s="105" t="s">
        <v>846</v>
      </c>
      <c r="M35" s="105" t="s">
        <v>849</v>
      </c>
      <c r="N35" s="154"/>
      <c r="O35" s="212">
        <v>0</v>
      </c>
      <c r="P35" s="153">
        <v>33</v>
      </c>
      <c r="Q35" s="105" t="s">
        <v>847</v>
      </c>
      <c r="R35" s="105" t="s">
        <v>2112</v>
      </c>
      <c r="S35" s="154"/>
      <c r="T35" s="212">
        <v>0.25</v>
      </c>
      <c r="U35" s="153">
        <v>33</v>
      </c>
      <c r="V35" s="105" t="s">
        <v>845</v>
      </c>
      <c r="W35" s="105" t="s">
        <v>849</v>
      </c>
      <c r="X35" s="154"/>
      <c r="Y35" s="212">
        <v>0</v>
      </c>
      <c r="Z35" s="153">
        <v>33</v>
      </c>
      <c r="AA35" s="105" t="s">
        <v>846</v>
      </c>
      <c r="AB35" s="105" t="s">
        <v>849</v>
      </c>
      <c r="AC35" s="154"/>
      <c r="AD35" s="212">
        <v>0</v>
      </c>
      <c r="AE35" s="153">
        <v>33</v>
      </c>
      <c r="AF35" s="105" t="s">
        <v>847</v>
      </c>
      <c r="AG35" s="105" t="s">
        <v>849</v>
      </c>
      <c r="AH35" s="154"/>
      <c r="AI35" s="212">
        <v>0</v>
      </c>
    </row>
    <row r="36" spans="1:35" ht="18">
      <c r="A36" s="153">
        <v>34</v>
      </c>
      <c r="B36" s="114" t="s">
        <v>849</v>
      </c>
      <c r="C36" s="155">
        <v>0</v>
      </c>
      <c r="D36" s="213">
        <v>0</v>
      </c>
      <c r="E36" s="155"/>
      <c r="F36" s="104">
        <v>34</v>
      </c>
      <c r="G36" s="105" t="s">
        <v>845</v>
      </c>
      <c r="H36" s="105" t="s">
        <v>849</v>
      </c>
      <c r="I36" s="154"/>
      <c r="J36" s="212">
        <v>0</v>
      </c>
      <c r="K36" s="153">
        <v>34</v>
      </c>
      <c r="L36" s="105" t="s">
        <v>846</v>
      </c>
      <c r="M36" s="105" t="s">
        <v>849</v>
      </c>
      <c r="N36" s="154"/>
      <c r="O36" s="212">
        <v>0</v>
      </c>
      <c r="P36" s="153">
        <v>34</v>
      </c>
      <c r="Q36" s="105" t="s">
        <v>847</v>
      </c>
      <c r="R36" s="105" t="s">
        <v>2112</v>
      </c>
      <c r="S36" s="154"/>
      <c r="T36" s="212">
        <v>0.25</v>
      </c>
      <c r="U36" s="153">
        <v>34</v>
      </c>
      <c r="V36" s="105" t="s">
        <v>845</v>
      </c>
      <c r="W36" s="105" t="s">
        <v>849</v>
      </c>
      <c r="X36" s="154"/>
      <c r="Y36" s="212">
        <v>0</v>
      </c>
      <c r="Z36" s="153">
        <v>34</v>
      </c>
      <c r="AA36" s="105" t="s">
        <v>846</v>
      </c>
      <c r="AB36" s="105" t="s">
        <v>849</v>
      </c>
      <c r="AC36" s="154"/>
      <c r="AD36" s="212">
        <v>0</v>
      </c>
      <c r="AE36" s="153">
        <v>34</v>
      </c>
      <c r="AF36" s="105" t="s">
        <v>847</v>
      </c>
      <c r="AG36" s="105" t="s">
        <v>849</v>
      </c>
      <c r="AH36" s="154"/>
      <c r="AI36" s="212">
        <v>0</v>
      </c>
    </row>
    <row r="37" spans="1:35" ht="18">
      <c r="A37" s="153">
        <v>35</v>
      </c>
      <c r="B37" s="114" t="s">
        <v>849</v>
      </c>
      <c r="C37" s="155">
        <v>0</v>
      </c>
      <c r="D37" s="213">
        <v>0</v>
      </c>
      <c r="E37" s="155"/>
      <c r="F37" s="104">
        <v>35</v>
      </c>
      <c r="G37" s="105" t="s">
        <v>845</v>
      </c>
      <c r="H37" s="105" t="s">
        <v>849</v>
      </c>
      <c r="I37" s="154"/>
      <c r="J37" s="212">
        <v>0</v>
      </c>
      <c r="K37" s="153">
        <v>35</v>
      </c>
      <c r="L37" s="105" t="s">
        <v>846</v>
      </c>
      <c r="M37" s="105" t="s">
        <v>849</v>
      </c>
      <c r="N37" s="154"/>
      <c r="O37" s="212">
        <v>0</v>
      </c>
      <c r="P37" s="153">
        <v>35</v>
      </c>
      <c r="Q37" s="105" t="s">
        <v>847</v>
      </c>
      <c r="R37" s="105" t="s">
        <v>2112</v>
      </c>
      <c r="S37" s="154"/>
      <c r="T37" s="212">
        <v>0.25</v>
      </c>
      <c r="U37" s="153">
        <v>35</v>
      </c>
      <c r="V37" s="105" t="s">
        <v>845</v>
      </c>
      <c r="W37" s="105" t="s">
        <v>849</v>
      </c>
      <c r="X37" s="154"/>
      <c r="Y37" s="212">
        <v>0</v>
      </c>
      <c r="Z37" s="153">
        <v>35</v>
      </c>
      <c r="AA37" s="105" t="s">
        <v>846</v>
      </c>
      <c r="AB37" s="105" t="s">
        <v>849</v>
      </c>
      <c r="AC37" s="154"/>
      <c r="AD37" s="212">
        <v>0</v>
      </c>
      <c r="AE37" s="153">
        <v>35</v>
      </c>
      <c r="AF37" s="105" t="s">
        <v>847</v>
      </c>
      <c r="AG37" s="105" t="s">
        <v>849</v>
      </c>
      <c r="AH37" s="154"/>
      <c r="AI37" s="212">
        <v>0</v>
      </c>
    </row>
    <row r="38" spans="1:35" ht="18">
      <c r="A38" s="153">
        <v>36</v>
      </c>
      <c r="B38" s="114" t="s">
        <v>849</v>
      </c>
      <c r="C38" s="155">
        <v>0</v>
      </c>
      <c r="D38" s="213">
        <v>0</v>
      </c>
      <c r="E38" s="155"/>
      <c r="F38" s="104">
        <v>36</v>
      </c>
      <c r="G38" s="105" t="s">
        <v>845</v>
      </c>
      <c r="H38" s="105" t="s">
        <v>849</v>
      </c>
      <c r="I38" s="154"/>
      <c r="J38" s="212">
        <v>0</v>
      </c>
      <c r="K38" s="153">
        <v>36</v>
      </c>
      <c r="L38" s="105" t="s">
        <v>846</v>
      </c>
      <c r="M38" s="105" t="s">
        <v>849</v>
      </c>
      <c r="N38" s="154"/>
      <c r="O38" s="212">
        <v>0</v>
      </c>
      <c r="P38" s="153">
        <v>36</v>
      </c>
      <c r="Q38" s="105" t="s">
        <v>847</v>
      </c>
      <c r="R38" s="105" t="s">
        <v>2112</v>
      </c>
      <c r="S38" s="154"/>
      <c r="T38" s="212">
        <v>0.25</v>
      </c>
      <c r="U38" s="153">
        <v>36</v>
      </c>
      <c r="V38" s="105" t="s">
        <v>845</v>
      </c>
      <c r="W38" s="105" t="s">
        <v>849</v>
      </c>
      <c r="X38" s="154"/>
      <c r="Y38" s="212">
        <v>0</v>
      </c>
      <c r="Z38" s="153">
        <v>36</v>
      </c>
      <c r="AA38" s="105" t="s">
        <v>846</v>
      </c>
      <c r="AB38" s="105" t="s">
        <v>849</v>
      </c>
      <c r="AC38" s="154"/>
      <c r="AD38" s="212">
        <v>0</v>
      </c>
      <c r="AE38" s="153">
        <v>36</v>
      </c>
      <c r="AF38" s="105" t="s">
        <v>847</v>
      </c>
      <c r="AG38" s="105" t="s">
        <v>849</v>
      </c>
      <c r="AH38" s="154"/>
      <c r="AI38" s="212">
        <v>0</v>
      </c>
    </row>
    <row r="39" spans="1:35" ht="18">
      <c r="A39" s="153">
        <v>37</v>
      </c>
      <c r="B39" s="114" t="s">
        <v>849</v>
      </c>
      <c r="C39" s="155">
        <v>0</v>
      </c>
      <c r="D39" s="213">
        <v>0</v>
      </c>
      <c r="E39" s="155"/>
      <c r="F39" s="104">
        <v>37</v>
      </c>
      <c r="G39" s="105" t="s">
        <v>845</v>
      </c>
      <c r="H39" s="105" t="s">
        <v>849</v>
      </c>
      <c r="I39" s="154"/>
      <c r="J39" s="212">
        <v>0</v>
      </c>
      <c r="K39" s="153">
        <v>37</v>
      </c>
      <c r="L39" s="105" t="s">
        <v>846</v>
      </c>
      <c r="M39" s="105" t="s">
        <v>849</v>
      </c>
      <c r="N39" s="154"/>
      <c r="O39" s="212">
        <v>0</v>
      </c>
      <c r="P39" s="153">
        <v>37</v>
      </c>
      <c r="Q39" s="105" t="s">
        <v>847</v>
      </c>
      <c r="R39" s="105" t="s">
        <v>2112</v>
      </c>
      <c r="S39" s="154"/>
      <c r="T39" s="212">
        <v>0.25</v>
      </c>
      <c r="U39" s="153">
        <v>37</v>
      </c>
      <c r="V39" s="105" t="s">
        <v>845</v>
      </c>
      <c r="W39" s="105" t="s">
        <v>849</v>
      </c>
      <c r="X39" s="154"/>
      <c r="Y39" s="212">
        <v>0</v>
      </c>
      <c r="Z39" s="153">
        <v>37</v>
      </c>
      <c r="AA39" s="105" t="s">
        <v>846</v>
      </c>
      <c r="AB39" s="105" t="s">
        <v>849</v>
      </c>
      <c r="AC39" s="154"/>
      <c r="AD39" s="212">
        <v>0</v>
      </c>
      <c r="AE39" s="153">
        <v>37</v>
      </c>
      <c r="AF39" s="105" t="s">
        <v>847</v>
      </c>
      <c r="AG39" s="105" t="s">
        <v>849</v>
      </c>
      <c r="AH39" s="154"/>
      <c r="AI39" s="212">
        <v>0</v>
      </c>
    </row>
    <row r="40" spans="1:35">
      <c r="A40" s="153">
        <v>38</v>
      </c>
      <c r="B40" s="114" t="s">
        <v>849</v>
      </c>
      <c r="C40" s="155">
        <v>0</v>
      </c>
      <c r="D40" s="213">
        <v>0</v>
      </c>
      <c r="E40" s="155"/>
      <c r="F40" s="104">
        <v>38</v>
      </c>
      <c r="G40" s="105" t="s">
        <v>845</v>
      </c>
      <c r="H40" s="105" t="s">
        <v>849</v>
      </c>
      <c r="I40" s="154"/>
      <c r="J40" s="212">
        <v>0</v>
      </c>
      <c r="K40" s="153">
        <v>38</v>
      </c>
      <c r="L40" s="105" t="s">
        <v>846</v>
      </c>
      <c r="M40" s="105" t="s">
        <v>849</v>
      </c>
      <c r="N40" s="154"/>
      <c r="O40" s="212">
        <v>0</v>
      </c>
      <c r="P40" s="153">
        <v>38</v>
      </c>
      <c r="Q40" s="105" t="s">
        <v>847</v>
      </c>
      <c r="R40" s="105" t="s">
        <v>1041</v>
      </c>
      <c r="S40" s="154"/>
      <c r="T40" s="212">
        <v>0</v>
      </c>
      <c r="U40" s="153">
        <v>38</v>
      </c>
      <c r="V40" s="105" t="s">
        <v>845</v>
      </c>
      <c r="W40" s="105" t="s">
        <v>849</v>
      </c>
      <c r="X40" s="154"/>
      <c r="Y40" s="212">
        <v>0</v>
      </c>
      <c r="Z40" s="153">
        <v>38</v>
      </c>
      <c r="AA40" s="105" t="s">
        <v>846</v>
      </c>
      <c r="AB40" s="105" t="s">
        <v>849</v>
      </c>
      <c r="AC40" s="154"/>
      <c r="AD40" s="212">
        <v>0</v>
      </c>
      <c r="AE40" s="153">
        <v>38</v>
      </c>
      <c r="AF40" s="105" t="s">
        <v>847</v>
      </c>
      <c r="AG40" s="105" t="s">
        <v>849</v>
      </c>
      <c r="AH40" s="154"/>
      <c r="AI40" s="212">
        <v>0</v>
      </c>
    </row>
    <row r="41" spans="1:35">
      <c r="A41" s="153">
        <v>39</v>
      </c>
      <c r="B41" s="114" t="s">
        <v>849</v>
      </c>
      <c r="C41" s="155">
        <v>0</v>
      </c>
      <c r="D41" s="213">
        <v>0</v>
      </c>
      <c r="E41" s="155"/>
      <c r="F41" s="104">
        <v>39</v>
      </c>
      <c r="G41" s="105" t="s">
        <v>845</v>
      </c>
      <c r="H41" s="105" t="s">
        <v>849</v>
      </c>
      <c r="I41" s="154"/>
      <c r="J41" s="212">
        <v>0</v>
      </c>
      <c r="K41" s="153">
        <v>39</v>
      </c>
      <c r="L41" s="105" t="s">
        <v>846</v>
      </c>
      <c r="M41" s="105" t="s">
        <v>849</v>
      </c>
      <c r="N41" s="154"/>
      <c r="O41" s="212">
        <v>0</v>
      </c>
      <c r="P41" s="153">
        <v>39</v>
      </c>
      <c r="Q41" s="105" t="s">
        <v>847</v>
      </c>
      <c r="R41" s="105" t="s">
        <v>849</v>
      </c>
      <c r="S41" s="154"/>
      <c r="T41" s="212">
        <v>0</v>
      </c>
      <c r="U41" s="153">
        <v>39</v>
      </c>
      <c r="V41" s="105" t="s">
        <v>845</v>
      </c>
      <c r="W41" s="105" t="s">
        <v>849</v>
      </c>
      <c r="X41" s="154"/>
      <c r="Y41" s="212">
        <v>0</v>
      </c>
      <c r="Z41" s="153">
        <v>39</v>
      </c>
      <c r="AA41" s="105" t="s">
        <v>846</v>
      </c>
      <c r="AB41" s="105" t="s">
        <v>849</v>
      </c>
      <c r="AC41" s="154"/>
      <c r="AD41" s="212">
        <v>0</v>
      </c>
      <c r="AE41" s="153">
        <v>39</v>
      </c>
      <c r="AF41" s="105" t="s">
        <v>847</v>
      </c>
      <c r="AG41" s="105" t="s">
        <v>849</v>
      </c>
      <c r="AH41" s="154"/>
      <c r="AI41" s="212">
        <v>0</v>
      </c>
    </row>
    <row r="42" spans="1:35">
      <c r="A42" s="153" t="s">
        <v>853</v>
      </c>
      <c r="B42" s="114" t="s">
        <v>849</v>
      </c>
      <c r="C42" s="155">
        <v>0</v>
      </c>
      <c r="D42" s="213">
        <v>0</v>
      </c>
      <c r="E42" s="155"/>
      <c r="F42" s="104" t="s">
        <v>853</v>
      </c>
      <c r="G42" s="105" t="s">
        <v>845</v>
      </c>
      <c r="H42" s="105" t="s">
        <v>849</v>
      </c>
      <c r="I42" s="154"/>
      <c r="J42" s="212">
        <v>0</v>
      </c>
      <c r="K42" s="153" t="s">
        <v>853</v>
      </c>
      <c r="L42" s="105" t="s">
        <v>846</v>
      </c>
      <c r="M42" s="105" t="s">
        <v>849</v>
      </c>
      <c r="N42" s="154"/>
      <c r="O42" s="212">
        <v>0</v>
      </c>
      <c r="P42" s="153" t="s">
        <v>853</v>
      </c>
      <c r="Q42" s="105" t="s">
        <v>847</v>
      </c>
      <c r="R42" s="105" t="s">
        <v>849</v>
      </c>
      <c r="S42" s="154"/>
      <c r="T42" s="212">
        <v>0</v>
      </c>
      <c r="U42" s="153" t="s">
        <v>853</v>
      </c>
      <c r="V42" s="105" t="s">
        <v>845</v>
      </c>
      <c r="W42" s="105" t="s">
        <v>849</v>
      </c>
      <c r="X42" s="154"/>
      <c r="Y42" s="212">
        <v>0</v>
      </c>
      <c r="Z42" s="153" t="s">
        <v>853</v>
      </c>
      <c r="AA42" s="105" t="s">
        <v>846</v>
      </c>
      <c r="AB42" s="105" t="s">
        <v>849</v>
      </c>
      <c r="AC42" s="154"/>
      <c r="AD42" s="212">
        <v>0</v>
      </c>
      <c r="AE42" s="153" t="s">
        <v>853</v>
      </c>
      <c r="AF42" s="105" t="s">
        <v>847</v>
      </c>
      <c r="AG42" s="105" t="s">
        <v>849</v>
      </c>
      <c r="AH42" s="154"/>
      <c r="AI42" s="212">
        <v>0</v>
      </c>
    </row>
  </sheetData>
  <sheetProtection algorithmName="SHA-512" hashValue="Q8xkIXZGeAjVVa00oFp+31wVQbo08ZkxBjuZRi1P0ZHIAgZuo4nTD3Oo2bN8Rh60yZ2VfReu9ZVfABqwc1BDAg==" saltValue="uXKcW6ME5J/a/Zl66MaDYA==" spinCount="100000" sheet="1" objects="1" scenarios="1"/>
  <pageMargins left="0.78740157480314965" right="0.39370078740157483" top="0.78740157480314965" bottom="0.19685039370078741" header="0.31496062992125984" footer="0.31496062992125984"/>
  <pageSetup paperSize="9" scale="56" orientation="landscape" r:id="rId1"/>
  <headerFooter>
    <oddHeader xml:space="preserve">&amp;L&amp;8Dienstleistungszentrum Ländlicher Raum (DLR) - Rheinpfalz, Breitenweg 71, 67435 Neustadt/Weinstraße
Alle Angaben ohne Gewähr. </oddHead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0"/>
  <sheetViews>
    <sheetView workbookViewId="0">
      <selection activeCell="P37" sqref="P37"/>
    </sheetView>
  </sheetViews>
  <sheetFormatPr baseColWidth="10" defaultRowHeight="15"/>
  <cols>
    <col min="1" max="1" width="9.42578125" style="60" customWidth="1"/>
    <col min="2" max="2" width="6" style="60" customWidth="1"/>
    <col min="3" max="3" width="8.42578125" style="60" customWidth="1"/>
    <col min="4" max="4" width="7.5703125" style="60" customWidth="1"/>
    <col min="5" max="9" width="11.42578125" style="60" customWidth="1"/>
    <col min="10" max="14" width="7.7109375" style="60" customWidth="1"/>
    <col min="15" max="15" width="11.42578125" style="60"/>
    <col min="16" max="16" width="13.42578125" style="60" customWidth="1"/>
    <col min="17" max="17" width="14.5703125" style="60" customWidth="1"/>
    <col min="18" max="16384" width="11.42578125" style="60"/>
  </cols>
  <sheetData>
    <row r="1" spans="1:19" ht="15" customHeight="1">
      <c r="A1" s="60" t="s">
        <v>837</v>
      </c>
      <c r="B1" s="60" t="s">
        <v>838</v>
      </c>
      <c r="C1" s="60" t="s">
        <v>839</v>
      </c>
      <c r="D1" s="60" t="s">
        <v>839</v>
      </c>
      <c r="E1" s="60" t="s">
        <v>839</v>
      </c>
      <c r="F1" s="60" t="s">
        <v>839</v>
      </c>
      <c r="G1" s="60" t="s">
        <v>839</v>
      </c>
      <c r="H1" s="60" t="s">
        <v>839</v>
      </c>
      <c r="I1" s="60" t="s">
        <v>840</v>
      </c>
      <c r="J1" s="60" t="s">
        <v>840</v>
      </c>
      <c r="K1" s="60" t="s">
        <v>840</v>
      </c>
      <c r="L1" s="60" t="s">
        <v>840</v>
      </c>
      <c r="M1" s="60" t="s">
        <v>840</v>
      </c>
      <c r="N1" s="60" t="s">
        <v>840</v>
      </c>
      <c r="P1" s="61" t="s">
        <v>841</v>
      </c>
      <c r="Q1" s="61" t="s">
        <v>842</v>
      </c>
      <c r="R1" s="61"/>
      <c r="S1" s="61" t="s">
        <v>843</v>
      </c>
    </row>
    <row r="2" spans="1:19">
      <c r="A2" s="60">
        <v>1</v>
      </c>
      <c r="B2" s="60" t="s">
        <v>844</v>
      </c>
      <c r="C2" s="60" t="s">
        <v>845</v>
      </c>
      <c r="D2" s="60" t="s">
        <v>844</v>
      </c>
      <c r="E2" s="60" t="s">
        <v>846</v>
      </c>
      <c r="F2" s="60" t="s">
        <v>844</v>
      </c>
      <c r="G2" s="60" t="s">
        <v>847</v>
      </c>
      <c r="H2" s="60" t="s">
        <v>844</v>
      </c>
      <c r="I2" s="60" t="s">
        <v>845</v>
      </c>
      <c r="J2" s="60" t="s">
        <v>844</v>
      </c>
      <c r="K2" s="60" t="s">
        <v>846</v>
      </c>
      <c r="L2" s="60" t="s">
        <v>844</v>
      </c>
      <c r="M2" s="60" t="s">
        <v>847</v>
      </c>
      <c r="N2" s="60" t="s">
        <v>844</v>
      </c>
      <c r="P2" s="61" t="s">
        <v>844</v>
      </c>
      <c r="Q2" s="62">
        <v>2</v>
      </c>
      <c r="R2" s="61"/>
      <c r="S2" s="61" t="s">
        <v>845</v>
      </c>
    </row>
    <row r="3" spans="1:19">
      <c r="A3" s="60">
        <v>2</v>
      </c>
      <c r="B3" s="60" t="s">
        <v>844</v>
      </c>
      <c r="C3" s="60" t="s">
        <v>845</v>
      </c>
      <c r="D3" s="60" t="s">
        <v>844</v>
      </c>
      <c r="E3" s="60" t="s">
        <v>846</v>
      </c>
      <c r="F3" s="60" t="s">
        <v>844</v>
      </c>
      <c r="G3" s="60" t="s">
        <v>847</v>
      </c>
      <c r="H3" s="60" t="s">
        <v>844</v>
      </c>
      <c r="I3" s="60" t="s">
        <v>845</v>
      </c>
      <c r="J3" s="60" t="s">
        <v>817</v>
      </c>
      <c r="K3" s="60" t="s">
        <v>846</v>
      </c>
      <c r="L3" s="60" t="s">
        <v>844</v>
      </c>
      <c r="M3" s="60" t="s">
        <v>847</v>
      </c>
      <c r="N3" s="60" t="s">
        <v>844</v>
      </c>
      <c r="P3" s="61" t="s">
        <v>817</v>
      </c>
      <c r="Q3" s="62">
        <v>1.5</v>
      </c>
      <c r="R3" s="61"/>
      <c r="S3" s="61" t="s">
        <v>846</v>
      </c>
    </row>
    <row r="4" spans="1:19">
      <c r="A4" s="60">
        <v>3</v>
      </c>
      <c r="B4" s="60" t="s">
        <v>844</v>
      </c>
      <c r="C4" s="60" t="s">
        <v>845</v>
      </c>
      <c r="D4" s="60" t="s">
        <v>844</v>
      </c>
      <c r="E4" s="60" t="s">
        <v>846</v>
      </c>
      <c r="F4" s="60" t="s">
        <v>844</v>
      </c>
      <c r="G4" s="60" t="s">
        <v>847</v>
      </c>
      <c r="H4" s="60" t="s">
        <v>844</v>
      </c>
      <c r="I4" s="60" t="s">
        <v>845</v>
      </c>
      <c r="J4" s="60" t="s">
        <v>817</v>
      </c>
      <c r="K4" s="60" t="s">
        <v>846</v>
      </c>
      <c r="L4" s="60" t="s">
        <v>817</v>
      </c>
      <c r="M4" s="60" t="s">
        <v>847</v>
      </c>
      <c r="N4" s="60" t="s">
        <v>844</v>
      </c>
      <c r="P4" s="61" t="s">
        <v>818</v>
      </c>
      <c r="Q4" s="62">
        <v>1</v>
      </c>
      <c r="R4" s="61"/>
      <c r="S4" s="61" t="s">
        <v>847</v>
      </c>
    </row>
    <row r="5" spans="1:19">
      <c r="A5" s="60">
        <v>4</v>
      </c>
      <c r="B5" s="60" t="s">
        <v>844</v>
      </c>
      <c r="C5" s="60" t="s">
        <v>845</v>
      </c>
      <c r="D5" s="60" t="s">
        <v>844</v>
      </c>
      <c r="E5" s="60" t="s">
        <v>846</v>
      </c>
      <c r="F5" s="60" t="s">
        <v>844</v>
      </c>
      <c r="G5" s="60" t="s">
        <v>847</v>
      </c>
      <c r="H5" s="60" t="s">
        <v>844</v>
      </c>
      <c r="I5" s="60" t="s">
        <v>845</v>
      </c>
      <c r="J5" s="60" t="s">
        <v>818</v>
      </c>
      <c r="K5" s="60" t="s">
        <v>846</v>
      </c>
      <c r="L5" s="60" t="s">
        <v>817</v>
      </c>
      <c r="M5" s="60" t="s">
        <v>847</v>
      </c>
      <c r="N5" s="60" t="s">
        <v>817</v>
      </c>
      <c r="P5" s="61" t="s">
        <v>848</v>
      </c>
      <c r="Q5" s="62">
        <v>0.5</v>
      </c>
      <c r="R5" s="61"/>
      <c r="S5" s="61"/>
    </row>
    <row r="6" spans="1:19">
      <c r="A6" s="60">
        <v>5</v>
      </c>
      <c r="B6" s="60" t="s">
        <v>844</v>
      </c>
      <c r="C6" s="60" t="s">
        <v>845</v>
      </c>
      <c r="D6" s="60" t="s">
        <v>817</v>
      </c>
      <c r="E6" s="60" t="s">
        <v>846</v>
      </c>
      <c r="F6" s="60" t="s">
        <v>844</v>
      </c>
      <c r="G6" s="60" t="s">
        <v>847</v>
      </c>
      <c r="H6" s="60" t="s">
        <v>844</v>
      </c>
      <c r="I6" s="60" t="s">
        <v>845</v>
      </c>
      <c r="J6" s="60" t="s">
        <v>818</v>
      </c>
      <c r="K6" s="60" t="s">
        <v>846</v>
      </c>
      <c r="L6" s="60" t="s">
        <v>817</v>
      </c>
      <c r="M6" s="60" t="s">
        <v>847</v>
      </c>
      <c r="N6" s="60" t="s">
        <v>817</v>
      </c>
      <c r="P6" s="61" t="s">
        <v>849</v>
      </c>
      <c r="Q6" s="62">
        <v>0</v>
      </c>
      <c r="R6" s="61"/>
      <c r="S6" s="61"/>
    </row>
    <row r="7" spans="1:19">
      <c r="A7" s="60">
        <v>6</v>
      </c>
      <c r="B7" s="60" t="s">
        <v>817</v>
      </c>
      <c r="C7" s="60" t="s">
        <v>845</v>
      </c>
      <c r="D7" s="60" t="s">
        <v>817</v>
      </c>
      <c r="E7" s="60" t="s">
        <v>846</v>
      </c>
      <c r="F7" s="60" t="s">
        <v>817</v>
      </c>
      <c r="G7" s="60" t="s">
        <v>847</v>
      </c>
      <c r="H7" s="60" t="s">
        <v>844</v>
      </c>
      <c r="I7" s="60" t="s">
        <v>845</v>
      </c>
      <c r="J7" s="60" t="s">
        <v>818</v>
      </c>
      <c r="K7" s="60" t="s">
        <v>846</v>
      </c>
      <c r="L7" s="60" t="s">
        <v>818</v>
      </c>
      <c r="M7" s="60" t="s">
        <v>847</v>
      </c>
      <c r="N7" s="60" t="s">
        <v>817</v>
      </c>
    </row>
    <row r="8" spans="1:19">
      <c r="A8" s="60">
        <v>7</v>
      </c>
      <c r="B8" s="60" t="s">
        <v>817</v>
      </c>
      <c r="C8" s="60" t="s">
        <v>845</v>
      </c>
      <c r="D8" s="60" t="s">
        <v>817</v>
      </c>
      <c r="E8" s="60" t="s">
        <v>846</v>
      </c>
      <c r="F8" s="60" t="s">
        <v>817</v>
      </c>
      <c r="G8" s="60" t="s">
        <v>847</v>
      </c>
      <c r="H8" s="60" t="s">
        <v>817</v>
      </c>
      <c r="I8" s="60" t="s">
        <v>845</v>
      </c>
      <c r="J8" s="60" t="s">
        <v>848</v>
      </c>
      <c r="K8" s="60" t="s">
        <v>846</v>
      </c>
      <c r="L8" s="60" t="s">
        <v>818</v>
      </c>
      <c r="M8" s="60" t="s">
        <v>847</v>
      </c>
      <c r="N8" s="60" t="s">
        <v>817</v>
      </c>
    </row>
    <row r="9" spans="1:19">
      <c r="A9" s="60">
        <v>8</v>
      </c>
      <c r="B9" s="60" t="s">
        <v>817</v>
      </c>
      <c r="C9" s="60" t="s">
        <v>845</v>
      </c>
      <c r="D9" s="60" t="s">
        <v>817</v>
      </c>
      <c r="E9" s="60" t="s">
        <v>846</v>
      </c>
      <c r="F9" s="60" t="s">
        <v>817</v>
      </c>
      <c r="G9" s="60" t="s">
        <v>847</v>
      </c>
      <c r="H9" s="60" t="s">
        <v>817</v>
      </c>
      <c r="I9" s="60" t="s">
        <v>845</v>
      </c>
      <c r="J9" s="60" t="s">
        <v>848</v>
      </c>
      <c r="K9" s="60" t="s">
        <v>846</v>
      </c>
      <c r="L9" s="60" t="s">
        <v>818</v>
      </c>
      <c r="M9" s="60" t="s">
        <v>847</v>
      </c>
      <c r="N9" s="60" t="s">
        <v>818</v>
      </c>
    </row>
    <row r="10" spans="1:19">
      <c r="A10" s="60">
        <v>9</v>
      </c>
      <c r="B10" s="60" t="s">
        <v>817</v>
      </c>
      <c r="C10" s="60" t="s">
        <v>845</v>
      </c>
      <c r="D10" s="60" t="s">
        <v>818</v>
      </c>
      <c r="E10" s="60" t="s">
        <v>846</v>
      </c>
      <c r="F10" s="60" t="s">
        <v>817</v>
      </c>
      <c r="G10" s="60" t="s">
        <v>847</v>
      </c>
      <c r="H10" s="60" t="s">
        <v>817</v>
      </c>
      <c r="I10" s="60" t="s">
        <v>845</v>
      </c>
      <c r="J10" s="60" t="s">
        <v>848</v>
      </c>
      <c r="K10" s="60" t="s">
        <v>846</v>
      </c>
      <c r="L10" s="60" t="s">
        <v>818</v>
      </c>
      <c r="M10" s="60" t="s">
        <v>847</v>
      </c>
      <c r="N10" s="60" t="s">
        <v>818</v>
      </c>
    </row>
    <row r="11" spans="1:19">
      <c r="A11" s="60">
        <v>10</v>
      </c>
      <c r="B11" s="60" t="s">
        <v>817</v>
      </c>
      <c r="C11" s="60" t="s">
        <v>845</v>
      </c>
      <c r="D11" s="60" t="s">
        <v>818</v>
      </c>
      <c r="E11" s="60" t="s">
        <v>846</v>
      </c>
      <c r="F11" s="60" t="s">
        <v>817</v>
      </c>
      <c r="G11" s="60" t="s">
        <v>847</v>
      </c>
      <c r="H11" s="60" t="s">
        <v>817</v>
      </c>
      <c r="I11" s="60" t="s">
        <v>845</v>
      </c>
      <c r="J11" s="60" t="s">
        <v>849</v>
      </c>
      <c r="K11" s="60" t="s">
        <v>846</v>
      </c>
      <c r="L11" s="60" t="s">
        <v>818</v>
      </c>
      <c r="M11" s="60" t="s">
        <v>847</v>
      </c>
      <c r="N11" s="60" t="s">
        <v>818</v>
      </c>
    </row>
    <row r="12" spans="1:19">
      <c r="A12" s="60">
        <v>11</v>
      </c>
      <c r="B12" s="60" t="s">
        <v>817</v>
      </c>
      <c r="C12" s="60" t="s">
        <v>845</v>
      </c>
      <c r="D12" s="60" t="s">
        <v>818</v>
      </c>
      <c r="E12" s="60" t="s">
        <v>846</v>
      </c>
      <c r="F12" s="60" t="s">
        <v>817</v>
      </c>
      <c r="G12" s="60" t="s">
        <v>847</v>
      </c>
      <c r="H12" s="60" t="s">
        <v>817</v>
      </c>
      <c r="I12" s="60" t="s">
        <v>845</v>
      </c>
      <c r="J12" s="60" t="s">
        <v>849</v>
      </c>
      <c r="K12" s="60" t="s">
        <v>846</v>
      </c>
      <c r="L12" s="60" t="s">
        <v>848</v>
      </c>
      <c r="M12" s="60" t="s">
        <v>847</v>
      </c>
      <c r="N12" s="60" t="s">
        <v>818</v>
      </c>
    </row>
    <row r="13" spans="1:19">
      <c r="A13" s="60">
        <v>12</v>
      </c>
      <c r="B13" s="60" t="s">
        <v>818</v>
      </c>
      <c r="C13" s="60" t="s">
        <v>845</v>
      </c>
      <c r="D13" s="60" t="s">
        <v>818</v>
      </c>
      <c r="E13" s="60" t="s">
        <v>846</v>
      </c>
      <c r="F13" s="60" t="s">
        <v>818</v>
      </c>
      <c r="G13" s="60" t="s">
        <v>847</v>
      </c>
      <c r="H13" s="60" t="s">
        <v>817</v>
      </c>
      <c r="I13" s="60" t="s">
        <v>845</v>
      </c>
      <c r="J13" s="60" t="s">
        <v>849</v>
      </c>
      <c r="K13" s="60" t="s">
        <v>846</v>
      </c>
      <c r="L13" s="60" t="s">
        <v>848</v>
      </c>
      <c r="M13" s="60" t="s">
        <v>847</v>
      </c>
      <c r="N13" s="60" t="s">
        <v>818</v>
      </c>
    </row>
    <row r="14" spans="1:19">
      <c r="A14" s="60">
        <v>13</v>
      </c>
      <c r="B14" s="60" t="s">
        <v>818</v>
      </c>
      <c r="C14" s="60" t="s">
        <v>845</v>
      </c>
      <c r="D14" s="60" t="s">
        <v>818</v>
      </c>
      <c r="E14" s="60" t="s">
        <v>846</v>
      </c>
      <c r="F14" s="60" t="s">
        <v>818</v>
      </c>
      <c r="G14" s="60" t="s">
        <v>847</v>
      </c>
      <c r="H14" s="60" t="s">
        <v>817</v>
      </c>
      <c r="I14" s="60" t="s">
        <v>845</v>
      </c>
      <c r="J14" s="60" t="s">
        <v>849</v>
      </c>
      <c r="K14" s="60" t="s">
        <v>846</v>
      </c>
      <c r="L14" s="60" t="s">
        <v>848</v>
      </c>
      <c r="M14" s="60" t="s">
        <v>847</v>
      </c>
      <c r="N14" s="60" t="s">
        <v>818</v>
      </c>
    </row>
    <row r="15" spans="1:19">
      <c r="A15" s="60">
        <v>14</v>
      </c>
      <c r="B15" s="60" t="s">
        <v>818</v>
      </c>
      <c r="C15" s="60" t="s">
        <v>845</v>
      </c>
      <c r="D15" s="60" t="s">
        <v>818</v>
      </c>
      <c r="E15" s="60" t="s">
        <v>846</v>
      </c>
      <c r="F15" s="60" t="s">
        <v>818</v>
      </c>
      <c r="G15" s="60" t="s">
        <v>847</v>
      </c>
      <c r="H15" s="60" t="s">
        <v>818</v>
      </c>
      <c r="I15" s="60" t="s">
        <v>845</v>
      </c>
      <c r="J15" s="60" t="s">
        <v>849</v>
      </c>
      <c r="K15" s="60" t="s">
        <v>846</v>
      </c>
      <c r="L15" s="60" t="s">
        <v>848</v>
      </c>
      <c r="M15" s="60" t="s">
        <v>847</v>
      </c>
      <c r="N15" s="60" t="s">
        <v>818</v>
      </c>
    </row>
    <row r="16" spans="1:19">
      <c r="A16" s="60">
        <v>15</v>
      </c>
      <c r="B16" s="60" t="s">
        <v>818</v>
      </c>
      <c r="C16" s="60" t="s">
        <v>845</v>
      </c>
      <c r="D16" s="60" t="s">
        <v>818</v>
      </c>
      <c r="E16" s="60" t="s">
        <v>846</v>
      </c>
      <c r="F16" s="60" t="s">
        <v>818</v>
      </c>
      <c r="G16" s="60" t="s">
        <v>847</v>
      </c>
      <c r="H16" s="60" t="s">
        <v>818</v>
      </c>
      <c r="I16" s="60" t="s">
        <v>845</v>
      </c>
      <c r="J16" s="60" t="s">
        <v>849</v>
      </c>
      <c r="K16" s="60" t="s">
        <v>846</v>
      </c>
      <c r="L16" s="60" t="s">
        <v>848</v>
      </c>
      <c r="M16" s="60" t="s">
        <v>847</v>
      </c>
      <c r="N16" s="60" t="s">
        <v>848</v>
      </c>
    </row>
    <row r="17" spans="1:14">
      <c r="A17" s="60">
        <v>16</v>
      </c>
      <c r="B17" s="60" t="s">
        <v>818</v>
      </c>
      <c r="C17" s="60" t="s">
        <v>845</v>
      </c>
      <c r="D17" s="60" t="s">
        <v>848</v>
      </c>
      <c r="E17" s="60" t="s">
        <v>846</v>
      </c>
      <c r="F17" s="60" t="s">
        <v>818</v>
      </c>
      <c r="G17" s="60" t="s">
        <v>847</v>
      </c>
      <c r="H17" s="60" t="s">
        <v>818</v>
      </c>
      <c r="I17" s="60" t="s">
        <v>845</v>
      </c>
      <c r="J17" s="60" t="s">
        <v>849</v>
      </c>
      <c r="K17" s="60" t="s">
        <v>846</v>
      </c>
      <c r="L17" s="60" t="s">
        <v>849</v>
      </c>
      <c r="M17" s="60" t="s">
        <v>847</v>
      </c>
      <c r="N17" s="60" t="s">
        <v>848</v>
      </c>
    </row>
    <row r="18" spans="1:14">
      <c r="A18" s="60">
        <v>17</v>
      </c>
      <c r="B18" s="60" t="s">
        <v>818</v>
      </c>
      <c r="C18" s="60" t="s">
        <v>845</v>
      </c>
      <c r="D18" s="60" t="s">
        <v>848</v>
      </c>
      <c r="E18" s="60" t="s">
        <v>846</v>
      </c>
      <c r="F18" s="60" t="s">
        <v>818</v>
      </c>
      <c r="G18" s="60" t="s">
        <v>847</v>
      </c>
      <c r="H18" s="60" t="s">
        <v>818</v>
      </c>
      <c r="I18" s="60" t="s">
        <v>845</v>
      </c>
      <c r="J18" s="60" t="s">
        <v>849</v>
      </c>
      <c r="K18" s="60" t="s">
        <v>846</v>
      </c>
      <c r="L18" s="60" t="s">
        <v>849</v>
      </c>
      <c r="M18" s="60" t="s">
        <v>847</v>
      </c>
      <c r="N18" s="60" t="s">
        <v>848</v>
      </c>
    </row>
    <row r="19" spans="1:14">
      <c r="A19" s="60">
        <v>18</v>
      </c>
      <c r="B19" s="60" t="s">
        <v>818</v>
      </c>
      <c r="C19" s="60" t="s">
        <v>845</v>
      </c>
      <c r="D19" s="60" t="s">
        <v>848</v>
      </c>
      <c r="E19" s="60" t="s">
        <v>846</v>
      </c>
      <c r="F19" s="60" t="s">
        <v>818</v>
      </c>
      <c r="G19" s="60" t="s">
        <v>847</v>
      </c>
      <c r="H19" s="60" t="s">
        <v>818</v>
      </c>
      <c r="I19" s="60" t="s">
        <v>845</v>
      </c>
      <c r="J19" s="60" t="s">
        <v>849</v>
      </c>
      <c r="K19" s="60" t="s">
        <v>846</v>
      </c>
      <c r="L19" s="60" t="s">
        <v>849</v>
      </c>
      <c r="M19" s="60" t="s">
        <v>847</v>
      </c>
      <c r="N19" s="60" t="s">
        <v>848</v>
      </c>
    </row>
    <row r="20" spans="1:14">
      <c r="A20" s="60">
        <v>19</v>
      </c>
      <c r="B20" s="60" t="s">
        <v>818</v>
      </c>
      <c r="C20" s="60" t="s">
        <v>845</v>
      </c>
      <c r="D20" s="60" t="s">
        <v>848</v>
      </c>
      <c r="E20" s="60" t="s">
        <v>846</v>
      </c>
      <c r="F20" s="60" t="s">
        <v>818</v>
      </c>
      <c r="G20" s="60" t="s">
        <v>847</v>
      </c>
      <c r="H20" s="60" t="s">
        <v>818</v>
      </c>
      <c r="I20" s="60" t="s">
        <v>845</v>
      </c>
      <c r="J20" s="60" t="s">
        <v>849</v>
      </c>
      <c r="K20" s="60" t="s">
        <v>846</v>
      </c>
      <c r="L20" s="60" t="s">
        <v>849</v>
      </c>
      <c r="M20" s="60" t="s">
        <v>847</v>
      </c>
      <c r="N20" s="60" t="s">
        <v>848</v>
      </c>
    </row>
    <row r="21" spans="1:14">
      <c r="A21" s="60">
        <v>20</v>
      </c>
      <c r="B21" s="60" t="s">
        <v>818</v>
      </c>
      <c r="C21" s="60" t="s">
        <v>845</v>
      </c>
      <c r="D21" s="60" t="s">
        <v>848</v>
      </c>
      <c r="E21" s="60" t="s">
        <v>846</v>
      </c>
      <c r="F21" s="60" t="s">
        <v>818</v>
      </c>
      <c r="G21" s="60" t="s">
        <v>847</v>
      </c>
      <c r="H21" s="60" t="s">
        <v>818</v>
      </c>
      <c r="I21" s="60" t="s">
        <v>845</v>
      </c>
      <c r="J21" s="60" t="s">
        <v>849</v>
      </c>
      <c r="K21" s="60" t="s">
        <v>846</v>
      </c>
      <c r="L21" s="60" t="s">
        <v>849</v>
      </c>
      <c r="M21" s="60" t="s">
        <v>847</v>
      </c>
      <c r="N21" s="60" t="s">
        <v>848</v>
      </c>
    </row>
    <row r="22" spans="1:14">
      <c r="A22" s="60">
        <v>21</v>
      </c>
      <c r="B22" s="60" t="s">
        <v>848</v>
      </c>
      <c r="C22" s="60" t="s">
        <v>845</v>
      </c>
      <c r="D22" s="60" t="s">
        <v>848</v>
      </c>
      <c r="E22" s="60" t="s">
        <v>846</v>
      </c>
      <c r="F22" s="60" t="s">
        <v>848</v>
      </c>
      <c r="G22" s="60" t="s">
        <v>847</v>
      </c>
      <c r="H22" s="60" t="s">
        <v>818</v>
      </c>
      <c r="I22" s="60" t="s">
        <v>845</v>
      </c>
      <c r="J22" s="60" t="s">
        <v>849</v>
      </c>
      <c r="K22" s="60" t="s">
        <v>846</v>
      </c>
      <c r="L22" s="60" t="s">
        <v>849</v>
      </c>
      <c r="M22" s="60" t="s">
        <v>847</v>
      </c>
      <c r="N22" s="60" t="s">
        <v>848</v>
      </c>
    </row>
    <row r="23" spans="1:14">
      <c r="A23" s="60">
        <v>22</v>
      </c>
      <c r="B23" s="60" t="s">
        <v>848</v>
      </c>
      <c r="C23" s="60" t="s">
        <v>845</v>
      </c>
      <c r="D23" s="60" t="s">
        <v>848</v>
      </c>
      <c r="E23" s="60" t="s">
        <v>846</v>
      </c>
      <c r="F23" s="60" t="s">
        <v>848</v>
      </c>
      <c r="G23" s="60" t="s">
        <v>847</v>
      </c>
      <c r="H23" s="60" t="s">
        <v>818</v>
      </c>
      <c r="I23" s="60" t="s">
        <v>845</v>
      </c>
      <c r="J23" s="60" t="s">
        <v>849</v>
      </c>
      <c r="K23" s="60" t="s">
        <v>846</v>
      </c>
      <c r="L23" s="60" t="s">
        <v>849</v>
      </c>
      <c r="M23" s="60" t="s">
        <v>847</v>
      </c>
      <c r="N23" s="60" t="s">
        <v>849</v>
      </c>
    </row>
    <row r="24" spans="1:14">
      <c r="A24" s="60">
        <v>23</v>
      </c>
      <c r="B24" s="60" t="s">
        <v>848</v>
      </c>
      <c r="C24" s="60" t="s">
        <v>845</v>
      </c>
      <c r="D24" s="60" t="s">
        <v>849</v>
      </c>
      <c r="E24" s="60" t="s">
        <v>846</v>
      </c>
      <c r="F24" s="60" t="s">
        <v>848</v>
      </c>
      <c r="G24" s="60" t="s">
        <v>847</v>
      </c>
      <c r="H24" s="60" t="s">
        <v>818</v>
      </c>
      <c r="I24" s="60" t="s">
        <v>845</v>
      </c>
      <c r="J24" s="60" t="s">
        <v>849</v>
      </c>
      <c r="K24" s="60" t="s">
        <v>846</v>
      </c>
      <c r="L24" s="60" t="s">
        <v>849</v>
      </c>
      <c r="M24" s="60" t="s">
        <v>847</v>
      </c>
      <c r="N24" s="60" t="s">
        <v>849</v>
      </c>
    </row>
    <row r="25" spans="1:14">
      <c r="A25" s="60">
        <v>24</v>
      </c>
      <c r="B25" s="60" t="s">
        <v>848</v>
      </c>
      <c r="C25" s="60" t="s">
        <v>845</v>
      </c>
      <c r="D25" s="60" t="s">
        <v>849</v>
      </c>
      <c r="E25" s="60" t="s">
        <v>846</v>
      </c>
      <c r="F25" s="60" t="s">
        <v>848</v>
      </c>
      <c r="G25" s="60" t="s">
        <v>847</v>
      </c>
      <c r="H25" s="60" t="s">
        <v>818</v>
      </c>
      <c r="I25" s="60" t="s">
        <v>845</v>
      </c>
      <c r="J25" s="60" t="s">
        <v>849</v>
      </c>
      <c r="K25" s="60" t="s">
        <v>846</v>
      </c>
      <c r="L25" s="60" t="s">
        <v>849</v>
      </c>
      <c r="M25" s="60" t="s">
        <v>847</v>
      </c>
      <c r="N25" s="60" t="s">
        <v>849</v>
      </c>
    </row>
    <row r="26" spans="1:14">
      <c r="A26" s="60">
        <v>25</v>
      </c>
      <c r="B26" s="60" t="s">
        <v>848</v>
      </c>
      <c r="C26" s="60" t="s">
        <v>845</v>
      </c>
      <c r="D26" s="60" t="s">
        <v>849</v>
      </c>
      <c r="E26" s="60" t="s">
        <v>846</v>
      </c>
      <c r="F26" s="60" t="s">
        <v>848</v>
      </c>
      <c r="G26" s="60" t="s">
        <v>847</v>
      </c>
      <c r="H26" s="60" t="s">
        <v>818</v>
      </c>
      <c r="I26" s="60" t="s">
        <v>845</v>
      </c>
      <c r="J26" s="60" t="s">
        <v>849</v>
      </c>
      <c r="K26" s="60" t="s">
        <v>846</v>
      </c>
      <c r="L26" s="60" t="s">
        <v>849</v>
      </c>
      <c r="M26" s="60" t="s">
        <v>847</v>
      </c>
      <c r="N26" s="60" t="s">
        <v>849</v>
      </c>
    </row>
    <row r="27" spans="1:14">
      <c r="A27" s="60">
        <v>26</v>
      </c>
      <c r="B27" s="60" t="s">
        <v>848</v>
      </c>
      <c r="C27" s="60" t="s">
        <v>845</v>
      </c>
      <c r="D27" s="60" t="s">
        <v>849</v>
      </c>
      <c r="E27" s="60" t="s">
        <v>846</v>
      </c>
      <c r="F27" s="60" t="s">
        <v>848</v>
      </c>
      <c r="G27" s="60" t="s">
        <v>847</v>
      </c>
      <c r="H27" s="60" t="s">
        <v>848</v>
      </c>
      <c r="I27" s="60" t="s">
        <v>845</v>
      </c>
      <c r="J27" s="60" t="s">
        <v>849</v>
      </c>
      <c r="K27" s="60" t="s">
        <v>846</v>
      </c>
      <c r="L27" s="60" t="s">
        <v>849</v>
      </c>
      <c r="M27" s="60" t="s">
        <v>847</v>
      </c>
      <c r="N27" s="60" t="s">
        <v>849</v>
      </c>
    </row>
    <row r="28" spans="1:14">
      <c r="A28" s="60">
        <v>27</v>
      </c>
      <c r="B28" s="60" t="s">
        <v>848</v>
      </c>
      <c r="C28" s="60" t="s">
        <v>845</v>
      </c>
      <c r="D28" s="60" t="s">
        <v>849</v>
      </c>
      <c r="E28" s="60" t="s">
        <v>846</v>
      </c>
      <c r="F28" s="60" t="s">
        <v>848</v>
      </c>
      <c r="G28" s="60" t="s">
        <v>847</v>
      </c>
      <c r="H28" s="60" t="s">
        <v>848</v>
      </c>
      <c r="I28" s="60" t="s">
        <v>845</v>
      </c>
      <c r="J28" s="60" t="s">
        <v>849</v>
      </c>
      <c r="K28" s="60" t="s">
        <v>846</v>
      </c>
      <c r="L28" s="60" t="s">
        <v>849</v>
      </c>
      <c r="M28" s="60" t="s">
        <v>847</v>
      </c>
      <c r="N28" s="60" t="s">
        <v>849</v>
      </c>
    </row>
    <row r="29" spans="1:14">
      <c r="A29" s="60">
        <v>28</v>
      </c>
      <c r="B29" s="60" t="s">
        <v>848</v>
      </c>
      <c r="C29" s="60" t="s">
        <v>845</v>
      </c>
      <c r="D29" s="60" t="s">
        <v>849</v>
      </c>
      <c r="E29" s="60" t="s">
        <v>846</v>
      </c>
      <c r="F29" s="60" t="s">
        <v>848</v>
      </c>
      <c r="G29" s="60" t="s">
        <v>847</v>
      </c>
      <c r="H29" s="60" t="s">
        <v>848</v>
      </c>
      <c r="I29" s="60" t="s">
        <v>845</v>
      </c>
      <c r="J29" s="60" t="s">
        <v>849</v>
      </c>
      <c r="K29" s="60" t="s">
        <v>846</v>
      </c>
      <c r="L29" s="60" t="s">
        <v>849</v>
      </c>
      <c r="M29" s="60" t="s">
        <v>847</v>
      </c>
      <c r="N29" s="60" t="s">
        <v>849</v>
      </c>
    </row>
    <row r="30" spans="1:14">
      <c r="A30" s="60">
        <v>29</v>
      </c>
      <c r="B30" s="60" t="s">
        <v>848</v>
      </c>
      <c r="C30" s="60" t="s">
        <v>845</v>
      </c>
      <c r="D30" s="60" t="s">
        <v>849</v>
      </c>
      <c r="E30" s="60" t="s">
        <v>846</v>
      </c>
      <c r="F30" s="60" t="s">
        <v>848</v>
      </c>
      <c r="G30" s="60" t="s">
        <v>847</v>
      </c>
      <c r="H30" s="60" t="s">
        <v>848</v>
      </c>
      <c r="I30" s="60" t="s">
        <v>845</v>
      </c>
      <c r="J30" s="60" t="s">
        <v>849</v>
      </c>
      <c r="K30" s="60" t="s">
        <v>846</v>
      </c>
      <c r="L30" s="60" t="s">
        <v>849</v>
      </c>
      <c r="M30" s="60" t="s">
        <v>847</v>
      </c>
      <c r="N30" s="60" t="s">
        <v>849</v>
      </c>
    </row>
    <row r="31" spans="1:14">
      <c r="A31" s="60">
        <v>30</v>
      </c>
      <c r="B31" s="60" t="s">
        <v>848</v>
      </c>
      <c r="C31" s="60" t="s">
        <v>845</v>
      </c>
      <c r="D31" s="60" t="s">
        <v>849</v>
      </c>
      <c r="E31" s="60" t="s">
        <v>846</v>
      </c>
      <c r="F31" s="60" t="s">
        <v>848</v>
      </c>
      <c r="G31" s="60" t="s">
        <v>847</v>
      </c>
      <c r="H31" s="60" t="s">
        <v>848</v>
      </c>
      <c r="I31" s="60" t="s">
        <v>845</v>
      </c>
      <c r="J31" s="60" t="s">
        <v>849</v>
      </c>
      <c r="K31" s="60" t="s">
        <v>846</v>
      </c>
      <c r="L31" s="60" t="s">
        <v>849</v>
      </c>
      <c r="M31" s="60" t="s">
        <v>847</v>
      </c>
      <c r="N31" s="60" t="s">
        <v>849</v>
      </c>
    </row>
    <row r="32" spans="1:14">
      <c r="A32" s="60">
        <v>31</v>
      </c>
      <c r="B32" s="60" t="s">
        <v>849</v>
      </c>
      <c r="C32" s="60" t="s">
        <v>845</v>
      </c>
      <c r="D32" s="60" t="s">
        <v>849</v>
      </c>
      <c r="E32" s="60" t="s">
        <v>846</v>
      </c>
      <c r="F32" s="60" t="s">
        <v>849</v>
      </c>
      <c r="G32" s="60" t="s">
        <v>847</v>
      </c>
      <c r="H32" s="60" t="s">
        <v>848</v>
      </c>
      <c r="I32" s="60" t="s">
        <v>845</v>
      </c>
      <c r="J32" s="60" t="s">
        <v>849</v>
      </c>
      <c r="K32" s="60" t="s">
        <v>846</v>
      </c>
      <c r="L32" s="60" t="s">
        <v>849</v>
      </c>
      <c r="M32" s="60" t="s">
        <v>847</v>
      </c>
      <c r="N32" s="60" t="s">
        <v>849</v>
      </c>
    </row>
    <row r="33" spans="1:14">
      <c r="A33" s="60">
        <v>32</v>
      </c>
      <c r="B33" s="60" t="s">
        <v>849</v>
      </c>
      <c r="C33" s="60" t="s">
        <v>845</v>
      </c>
      <c r="D33" s="60" t="s">
        <v>849</v>
      </c>
      <c r="E33" s="60" t="s">
        <v>846</v>
      </c>
      <c r="F33" s="60" t="s">
        <v>849</v>
      </c>
      <c r="G33" s="60" t="s">
        <v>847</v>
      </c>
      <c r="H33" s="60" t="s">
        <v>848</v>
      </c>
      <c r="I33" s="60" t="s">
        <v>845</v>
      </c>
      <c r="J33" s="60" t="s">
        <v>849</v>
      </c>
      <c r="K33" s="60" t="s">
        <v>846</v>
      </c>
      <c r="L33" s="60" t="s">
        <v>849</v>
      </c>
      <c r="M33" s="60" t="s">
        <v>847</v>
      </c>
      <c r="N33" s="60" t="s">
        <v>849</v>
      </c>
    </row>
    <row r="34" spans="1:14">
      <c r="A34" s="60">
        <v>33</v>
      </c>
      <c r="B34" s="60" t="s">
        <v>849</v>
      </c>
      <c r="C34" s="60" t="s">
        <v>845</v>
      </c>
      <c r="D34" s="60" t="s">
        <v>849</v>
      </c>
      <c r="E34" s="60" t="s">
        <v>846</v>
      </c>
      <c r="F34" s="60" t="s">
        <v>849</v>
      </c>
      <c r="G34" s="60" t="s">
        <v>847</v>
      </c>
      <c r="H34" s="60" t="s">
        <v>848</v>
      </c>
      <c r="I34" s="60" t="s">
        <v>845</v>
      </c>
      <c r="J34" s="60" t="s">
        <v>849</v>
      </c>
      <c r="K34" s="60" t="s">
        <v>846</v>
      </c>
      <c r="L34" s="60" t="s">
        <v>849</v>
      </c>
      <c r="M34" s="60" t="s">
        <v>847</v>
      </c>
      <c r="N34" s="60" t="s">
        <v>849</v>
      </c>
    </row>
    <row r="35" spans="1:14">
      <c r="A35" s="60">
        <v>34</v>
      </c>
      <c r="B35" s="60" t="s">
        <v>849</v>
      </c>
      <c r="C35" s="60" t="s">
        <v>845</v>
      </c>
      <c r="D35" s="60" t="s">
        <v>849</v>
      </c>
      <c r="E35" s="60" t="s">
        <v>846</v>
      </c>
      <c r="F35" s="60" t="s">
        <v>849</v>
      </c>
      <c r="G35" s="60" t="s">
        <v>847</v>
      </c>
      <c r="H35" s="60" t="s">
        <v>848</v>
      </c>
      <c r="I35" s="60" t="s">
        <v>845</v>
      </c>
      <c r="J35" s="60" t="s">
        <v>849</v>
      </c>
      <c r="K35" s="60" t="s">
        <v>846</v>
      </c>
      <c r="L35" s="60" t="s">
        <v>849</v>
      </c>
      <c r="M35" s="60" t="s">
        <v>847</v>
      </c>
      <c r="N35" s="60" t="s">
        <v>849</v>
      </c>
    </row>
    <row r="36" spans="1:14">
      <c r="A36" s="60">
        <v>35</v>
      </c>
      <c r="B36" s="60" t="s">
        <v>849</v>
      </c>
      <c r="C36" s="60" t="s">
        <v>845</v>
      </c>
      <c r="D36" s="60" t="s">
        <v>849</v>
      </c>
      <c r="E36" s="60" t="s">
        <v>846</v>
      </c>
      <c r="F36" s="60" t="s">
        <v>849</v>
      </c>
      <c r="G36" s="60" t="s">
        <v>847</v>
      </c>
      <c r="H36" s="60" t="s">
        <v>848</v>
      </c>
      <c r="I36" s="60" t="s">
        <v>845</v>
      </c>
      <c r="J36" s="60" t="s">
        <v>849</v>
      </c>
      <c r="K36" s="60" t="s">
        <v>846</v>
      </c>
      <c r="L36" s="60" t="s">
        <v>849</v>
      </c>
      <c r="M36" s="60" t="s">
        <v>847</v>
      </c>
      <c r="N36" s="60" t="s">
        <v>849</v>
      </c>
    </row>
    <row r="37" spans="1:14">
      <c r="A37" s="60">
        <v>36</v>
      </c>
      <c r="B37" s="60" t="s">
        <v>849</v>
      </c>
      <c r="C37" s="60" t="s">
        <v>845</v>
      </c>
      <c r="D37" s="60" t="s">
        <v>849</v>
      </c>
      <c r="E37" s="60" t="s">
        <v>846</v>
      </c>
      <c r="F37" s="60" t="s">
        <v>849</v>
      </c>
      <c r="G37" s="60" t="s">
        <v>847</v>
      </c>
      <c r="H37" s="60" t="s">
        <v>848</v>
      </c>
      <c r="I37" s="60" t="s">
        <v>845</v>
      </c>
      <c r="J37" s="60" t="s">
        <v>849</v>
      </c>
      <c r="K37" s="60" t="s">
        <v>846</v>
      </c>
      <c r="L37" s="60" t="s">
        <v>849</v>
      </c>
      <c r="M37" s="60" t="s">
        <v>847</v>
      </c>
      <c r="N37" s="60" t="s">
        <v>849</v>
      </c>
    </row>
    <row r="38" spans="1:14">
      <c r="A38" s="60">
        <v>37</v>
      </c>
      <c r="B38" s="60" t="s">
        <v>849</v>
      </c>
      <c r="C38" s="60" t="s">
        <v>845</v>
      </c>
      <c r="D38" s="60" t="s">
        <v>849</v>
      </c>
      <c r="E38" s="60" t="s">
        <v>846</v>
      </c>
      <c r="F38" s="60" t="s">
        <v>849</v>
      </c>
      <c r="G38" s="60" t="s">
        <v>847</v>
      </c>
      <c r="H38" s="60" t="s">
        <v>848</v>
      </c>
      <c r="I38" s="60" t="s">
        <v>845</v>
      </c>
      <c r="J38" s="60" t="s">
        <v>849</v>
      </c>
      <c r="K38" s="60" t="s">
        <v>846</v>
      </c>
      <c r="L38" s="60" t="s">
        <v>849</v>
      </c>
      <c r="M38" s="60" t="s">
        <v>847</v>
      </c>
      <c r="N38" s="60" t="s">
        <v>849</v>
      </c>
    </row>
    <row r="39" spans="1:14">
      <c r="A39" s="60">
        <v>38</v>
      </c>
      <c r="B39" s="60" t="s">
        <v>849</v>
      </c>
      <c r="C39" s="60" t="s">
        <v>845</v>
      </c>
      <c r="D39" s="60" t="s">
        <v>849</v>
      </c>
      <c r="E39" s="60" t="s">
        <v>846</v>
      </c>
      <c r="F39" s="60" t="s">
        <v>849</v>
      </c>
      <c r="G39" s="60" t="s">
        <v>847</v>
      </c>
      <c r="H39" s="60" t="s">
        <v>848</v>
      </c>
      <c r="I39" s="60" t="s">
        <v>845</v>
      </c>
      <c r="J39" s="60" t="s">
        <v>849</v>
      </c>
      <c r="K39" s="60" t="s">
        <v>846</v>
      </c>
      <c r="L39" s="60" t="s">
        <v>849</v>
      </c>
      <c r="M39" s="60" t="s">
        <v>847</v>
      </c>
      <c r="N39" s="60" t="s">
        <v>849</v>
      </c>
    </row>
    <row r="40" spans="1:14">
      <c r="A40" s="60">
        <v>39</v>
      </c>
      <c r="B40" s="60" t="s">
        <v>849</v>
      </c>
      <c r="C40" s="60" t="s">
        <v>845</v>
      </c>
      <c r="D40" s="60" t="s">
        <v>849</v>
      </c>
      <c r="E40" s="60" t="s">
        <v>846</v>
      </c>
      <c r="F40" s="60" t="s">
        <v>849</v>
      </c>
      <c r="G40" s="60" t="s">
        <v>847</v>
      </c>
      <c r="H40" s="60" t="s">
        <v>849</v>
      </c>
      <c r="I40" s="60" t="s">
        <v>845</v>
      </c>
      <c r="J40" s="60" t="s">
        <v>849</v>
      </c>
      <c r="K40" s="60" t="s">
        <v>846</v>
      </c>
      <c r="L40" s="60" t="s">
        <v>849</v>
      </c>
      <c r="M40" s="60" t="s">
        <v>847</v>
      </c>
      <c r="N40" s="60" t="s">
        <v>849</v>
      </c>
    </row>
  </sheetData>
  <sheetProtection password="CC7D" sheet="1" objects="1" scenarios="1"/>
  <pageMargins left="0.78740157480314965" right="0.39370078740157483" top="0.78740157480314965" bottom="0.19685039370078741" header="0.31496062992125984" footer="0.31496062992125984"/>
  <pageSetup paperSize="9" scale="48" orientation="portrait" r:id="rId1"/>
  <headerFooter>
    <oddHeader xml:space="preserve">&amp;L&amp;8Dienstleistungszentrum Ländlicher Raum (DLR) - Rheinpfalz, Breitenweg 71, 67435 Neustadt/Weinstraße
Alle Angaben ohne Gewähr.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27"/>
  <sheetViews>
    <sheetView workbookViewId="0">
      <pane ySplit="1" topLeftCell="A2" activePane="bottomLeft" state="frozen"/>
      <selection pane="bottomLeft" activeCell="A101" sqref="A101"/>
    </sheetView>
  </sheetViews>
  <sheetFormatPr baseColWidth="10" defaultRowHeight="12.75"/>
  <cols>
    <col min="1" max="1" width="52.7109375" customWidth="1"/>
    <col min="2" max="2" width="9" style="181" customWidth="1"/>
    <col min="3" max="3" width="8.42578125" style="181" customWidth="1"/>
    <col min="4" max="4" width="9.42578125" style="181" customWidth="1"/>
    <col min="5" max="5" width="7.7109375" style="181" customWidth="1"/>
    <col min="6" max="6" width="9.7109375" style="181" customWidth="1"/>
    <col min="7" max="7" width="10.5703125" style="180" customWidth="1"/>
    <col min="8" max="8" width="11.28515625" style="180" customWidth="1"/>
    <col min="9" max="9" width="9.42578125" customWidth="1"/>
    <col min="10" max="10" width="10.42578125" customWidth="1"/>
    <col min="11" max="11" width="9.85546875" customWidth="1"/>
    <col min="12" max="12" width="10.28515625" customWidth="1"/>
  </cols>
  <sheetData>
    <row r="1" spans="1:12" s="2" customFormat="1" ht="111.75" customHeight="1">
      <c r="A1" s="247" t="s">
        <v>1372</v>
      </c>
      <c r="B1" s="248" t="s">
        <v>1023</v>
      </c>
      <c r="C1" s="248" t="s">
        <v>1373</v>
      </c>
      <c r="D1" s="248" t="s">
        <v>1374</v>
      </c>
      <c r="E1" s="248" t="s">
        <v>1375</v>
      </c>
      <c r="F1" s="248" t="s">
        <v>1037</v>
      </c>
      <c r="G1" s="248" t="s">
        <v>1038</v>
      </c>
      <c r="H1" s="248" t="s">
        <v>1039</v>
      </c>
      <c r="I1" s="248" t="s">
        <v>1028</v>
      </c>
      <c r="J1" s="248" t="s">
        <v>1376</v>
      </c>
      <c r="K1" s="248" t="s">
        <v>1377</v>
      </c>
      <c r="L1" s="248" t="s">
        <v>1031</v>
      </c>
    </row>
    <row r="2" spans="1:12" ht="15">
      <c r="A2" s="282" t="s">
        <v>1615</v>
      </c>
      <c r="B2" s="283"/>
      <c r="C2" s="283"/>
      <c r="D2" s="283"/>
      <c r="E2" s="283"/>
      <c r="F2" s="283"/>
      <c r="G2" s="283"/>
      <c r="H2" s="283"/>
      <c r="I2" s="284"/>
      <c r="J2" s="284"/>
      <c r="K2" s="284"/>
      <c r="L2" s="284"/>
    </row>
    <row r="3" spans="1:12" ht="15">
      <c r="A3" s="282" t="s">
        <v>1616</v>
      </c>
      <c r="B3" s="285"/>
      <c r="C3" s="285"/>
      <c r="D3" s="285"/>
      <c r="E3" s="285"/>
      <c r="F3" s="285"/>
      <c r="G3" s="285"/>
      <c r="H3" s="285"/>
      <c r="I3" s="286"/>
      <c r="J3" s="286"/>
      <c r="K3" s="286"/>
      <c r="L3" s="286"/>
    </row>
    <row r="4" spans="1:12" ht="15">
      <c r="A4" s="282" t="s">
        <v>1617</v>
      </c>
      <c r="B4" s="285"/>
      <c r="C4" s="285"/>
      <c r="D4" s="285"/>
      <c r="E4" s="285"/>
      <c r="F4" s="285"/>
      <c r="G4" s="285"/>
      <c r="H4" s="285"/>
      <c r="I4" s="286"/>
      <c r="J4" s="286"/>
      <c r="K4" s="286"/>
      <c r="L4" s="286"/>
    </row>
    <row r="5" spans="1:12" ht="15">
      <c r="A5" s="282" t="s">
        <v>1618</v>
      </c>
      <c r="B5" s="285"/>
      <c r="C5" s="285"/>
      <c r="D5" s="285"/>
      <c r="E5" s="285"/>
      <c r="F5" s="285"/>
      <c r="G5" s="285"/>
      <c r="H5" s="285"/>
      <c r="I5" s="286"/>
      <c r="J5" s="286"/>
      <c r="K5" s="286"/>
      <c r="L5" s="286"/>
    </row>
    <row r="6" spans="1:12" ht="15">
      <c r="A6" s="282" t="s">
        <v>1619</v>
      </c>
      <c r="B6" s="285"/>
      <c r="C6" s="285"/>
      <c r="D6" s="285"/>
      <c r="E6" s="285"/>
      <c r="F6" s="285"/>
      <c r="G6" s="285"/>
      <c r="H6" s="285"/>
      <c r="I6" s="286"/>
      <c r="J6" s="286"/>
      <c r="K6" s="286"/>
      <c r="L6" s="286"/>
    </row>
    <row r="7" spans="1:12" ht="15">
      <c r="A7" s="282" t="s">
        <v>1620</v>
      </c>
      <c r="B7" s="285"/>
      <c r="C7" s="285"/>
      <c r="D7" s="285"/>
      <c r="E7" s="285"/>
      <c r="F7" s="285"/>
      <c r="G7" s="285"/>
      <c r="H7" s="285"/>
      <c r="I7" s="286"/>
      <c r="J7" s="286"/>
      <c r="K7" s="286"/>
      <c r="L7" s="286"/>
    </row>
    <row r="8" spans="1:12" ht="15">
      <c r="A8" s="282" t="s">
        <v>1621</v>
      </c>
      <c r="B8" s="285"/>
      <c r="C8" s="285"/>
      <c r="D8" s="285"/>
      <c r="E8" s="285"/>
      <c r="F8" s="285"/>
      <c r="G8" s="285"/>
      <c r="H8" s="285"/>
      <c r="I8" s="286"/>
      <c r="J8" s="286"/>
      <c r="K8" s="286"/>
      <c r="L8" s="286"/>
    </row>
    <row r="9" spans="1:12" ht="15">
      <c r="A9" s="282" t="s">
        <v>1622</v>
      </c>
      <c r="B9" s="285"/>
      <c r="C9" s="285"/>
      <c r="D9" s="285"/>
      <c r="E9" s="285"/>
      <c r="F9" s="285"/>
      <c r="G9" s="285"/>
      <c r="H9" s="285"/>
      <c r="I9" s="286"/>
      <c r="J9" s="286"/>
      <c r="K9" s="286"/>
      <c r="L9" s="286"/>
    </row>
    <row r="10" spans="1:12" ht="15">
      <c r="A10" s="282" t="s">
        <v>1623</v>
      </c>
      <c r="B10" s="285"/>
      <c r="C10" s="285"/>
      <c r="D10" s="285"/>
      <c r="E10" s="285"/>
      <c r="F10" s="285"/>
      <c r="G10" s="285"/>
      <c r="H10" s="285"/>
      <c r="I10" s="286"/>
      <c r="J10" s="286"/>
      <c r="K10" s="286"/>
      <c r="L10" s="286"/>
    </row>
    <row r="11" spans="1:12" ht="15">
      <c r="A11" s="282" t="s">
        <v>1624</v>
      </c>
      <c r="B11" s="287"/>
      <c r="C11" s="287"/>
      <c r="D11" s="287"/>
      <c r="E11" s="287"/>
      <c r="F11" s="287"/>
      <c r="G11" s="287"/>
      <c r="H11" s="287"/>
      <c r="I11" s="288"/>
      <c r="J11" s="288"/>
      <c r="K11" s="288"/>
      <c r="L11" s="288"/>
    </row>
    <row r="12" spans="1:12" ht="15">
      <c r="A12" s="239" t="s">
        <v>1291</v>
      </c>
      <c r="B12" s="240">
        <v>35</v>
      </c>
      <c r="C12" s="240">
        <v>0</v>
      </c>
      <c r="D12" s="240">
        <v>0</v>
      </c>
      <c r="E12" s="240">
        <v>60</v>
      </c>
      <c r="F12" s="240">
        <v>0</v>
      </c>
      <c r="G12" s="240">
        <v>0</v>
      </c>
      <c r="H12" s="240">
        <v>0</v>
      </c>
      <c r="I12" s="241">
        <v>5.6</v>
      </c>
      <c r="J12" s="241">
        <v>1.5</v>
      </c>
      <c r="K12" s="241">
        <v>4</v>
      </c>
      <c r="L12" s="241">
        <v>0.5</v>
      </c>
    </row>
    <row r="13" spans="1:12" ht="15">
      <c r="A13" s="239" t="s">
        <v>1290</v>
      </c>
      <c r="B13" s="240">
        <v>35</v>
      </c>
      <c r="C13" s="240">
        <v>0</v>
      </c>
      <c r="D13" s="240">
        <v>0</v>
      </c>
      <c r="E13" s="240">
        <v>60</v>
      </c>
      <c r="F13" s="240">
        <v>0</v>
      </c>
      <c r="G13" s="240">
        <v>0</v>
      </c>
      <c r="H13" s="240">
        <v>0</v>
      </c>
      <c r="I13" s="241">
        <v>4.0999999999999996</v>
      </c>
      <c r="J13" s="241">
        <v>1.2</v>
      </c>
      <c r="K13" s="241">
        <v>1.4</v>
      </c>
      <c r="L13" s="241">
        <v>0.2</v>
      </c>
    </row>
    <row r="14" spans="1:12" ht="15">
      <c r="A14" s="239" t="s">
        <v>1293</v>
      </c>
      <c r="B14" s="240">
        <v>35</v>
      </c>
      <c r="C14" s="240">
        <v>130</v>
      </c>
      <c r="D14" s="240">
        <v>0</v>
      </c>
      <c r="E14" s="240">
        <v>60</v>
      </c>
      <c r="F14" s="240">
        <v>5</v>
      </c>
      <c r="G14" s="240">
        <v>10</v>
      </c>
      <c r="H14" s="240">
        <v>15</v>
      </c>
      <c r="I14" s="241">
        <v>3.72</v>
      </c>
      <c r="J14" s="241">
        <v>2.5</v>
      </c>
      <c r="K14" s="241">
        <v>6.02</v>
      </c>
      <c r="L14" s="241">
        <v>0.99</v>
      </c>
    </row>
    <row r="15" spans="1:12" ht="15">
      <c r="A15" s="239" t="s">
        <v>1292</v>
      </c>
      <c r="B15" s="240">
        <v>35</v>
      </c>
      <c r="C15" s="240">
        <v>130</v>
      </c>
      <c r="D15" s="240">
        <v>0</v>
      </c>
      <c r="E15" s="240">
        <v>60</v>
      </c>
      <c r="F15" s="240">
        <v>5</v>
      </c>
      <c r="G15" s="240">
        <v>10</v>
      </c>
      <c r="H15" s="240">
        <v>15</v>
      </c>
      <c r="I15" s="241">
        <v>2.34</v>
      </c>
      <c r="J15" s="241">
        <v>0.89</v>
      </c>
      <c r="K15" s="241">
        <v>0.5</v>
      </c>
      <c r="L15" s="241">
        <v>0.3</v>
      </c>
    </row>
    <row r="16" spans="1:12" ht="15">
      <c r="A16" s="239" t="s">
        <v>1295</v>
      </c>
      <c r="B16" s="242">
        <v>20</v>
      </c>
      <c r="C16" s="242">
        <v>80</v>
      </c>
      <c r="D16" s="240">
        <v>0</v>
      </c>
      <c r="E16" s="240">
        <v>60</v>
      </c>
      <c r="F16" s="243">
        <v>5</v>
      </c>
      <c r="G16" s="243">
        <v>10</v>
      </c>
      <c r="H16" s="243">
        <v>15</v>
      </c>
      <c r="I16" s="241">
        <v>2.93</v>
      </c>
      <c r="J16" s="241">
        <v>1.35</v>
      </c>
      <c r="K16" s="241">
        <v>2.9</v>
      </c>
      <c r="L16" s="241">
        <v>0.6</v>
      </c>
    </row>
    <row r="17" spans="1:12" ht="15">
      <c r="A17" s="239" t="s">
        <v>1294</v>
      </c>
      <c r="B17" s="242">
        <v>20</v>
      </c>
      <c r="C17" s="242">
        <v>80</v>
      </c>
      <c r="D17" s="240">
        <v>0</v>
      </c>
      <c r="E17" s="240">
        <v>60</v>
      </c>
      <c r="F17" s="243">
        <v>5</v>
      </c>
      <c r="G17" s="243">
        <v>10</v>
      </c>
      <c r="H17" s="243">
        <v>15</v>
      </c>
      <c r="I17" s="241">
        <v>2.33</v>
      </c>
      <c r="J17" s="241">
        <v>0.65</v>
      </c>
      <c r="K17" s="241">
        <v>0.5</v>
      </c>
      <c r="L17" s="241">
        <v>0.3</v>
      </c>
    </row>
    <row r="18" spans="1:12" ht="15">
      <c r="A18" s="239" t="s">
        <v>1296</v>
      </c>
      <c r="B18" s="242">
        <v>120</v>
      </c>
      <c r="C18" s="242">
        <v>200</v>
      </c>
      <c r="D18" s="240">
        <v>0</v>
      </c>
      <c r="E18" s="240">
        <v>90</v>
      </c>
      <c r="F18" s="243">
        <v>20</v>
      </c>
      <c r="G18" s="243">
        <v>10</v>
      </c>
      <c r="H18" s="243">
        <v>15</v>
      </c>
      <c r="I18" s="241">
        <v>1.01</v>
      </c>
      <c r="J18" s="241">
        <v>0.41</v>
      </c>
      <c r="K18" s="241">
        <v>0.36</v>
      </c>
      <c r="L18" s="241">
        <v>0.6</v>
      </c>
    </row>
    <row r="19" spans="1:12" ht="15">
      <c r="A19" s="244" t="s">
        <v>1298</v>
      </c>
      <c r="B19" s="240">
        <v>60</v>
      </c>
      <c r="C19" s="240">
        <v>200</v>
      </c>
      <c r="D19" s="240">
        <v>0</v>
      </c>
      <c r="E19" s="240">
        <v>90</v>
      </c>
      <c r="F19" s="243">
        <v>10</v>
      </c>
      <c r="G19" s="243">
        <v>10</v>
      </c>
      <c r="H19" s="243">
        <v>15</v>
      </c>
      <c r="I19" s="245">
        <v>2.0499999999999998</v>
      </c>
      <c r="J19" s="245">
        <v>1.04</v>
      </c>
      <c r="K19" s="245">
        <v>1.92</v>
      </c>
      <c r="L19" s="245">
        <v>0.36</v>
      </c>
    </row>
    <row r="20" spans="1:12" ht="15">
      <c r="A20" s="244" t="s">
        <v>1297</v>
      </c>
      <c r="B20" s="240">
        <v>60</v>
      </c>
      <c r="C20" s="240">
        <v>200</v>
      </c>
      <c r="D20" s="240">
        <v>0</v>
      </c>
      <c r="E20" s="240">
        <v>90</v>
      </c>
      <c r="F20" s="243">
        <v>10</v>
      </c>
      <c r="G20" s="243">
        <v>10</v>
      </c>
      <c r="H20" s="243">
        <v>15</v>
      </c>
      <c r="I20" s="245">
        <v>1.65</v>
      </c>
      <c r="J20" s="245">
        <v>0.8</v>
      </c>
      <c r="K20" s="245">
        <v>0.8</v>
      </c>
      <c r="L20" s="245">
        <v>0.2</v>
      </c>
    </row>
    <row r="21" spans="1:12" ht="15">
      <c r="A21" s="244" t="s">
        <v>1300</v>
      </c>
      <c r="B21" s="240">
        <v>40</v>
      </c>
      <c r="C21" s="240">
        <v>115</v>
      </c>
      <c r="D21" s="240">
        <v>0</v>
      </c>
      <c r="E21" s="240">
        <v>90</v>
      </c>
      <c r="F21" s="243">
        <v>10</v>
      </c>
      <c r="G21" s="243">
        <v>10</v>
      </c>
      <c r="H21" s="243">
        <v>15</v>
      </c>
      <c r="I21" s="245">
        <v>2.31</v>
      </c>
      <c r="J21" s="245">
        <v>1.05</v>
      </c>
      <c r="K21" s="245">
        <v>1.95</v>
      </c>
      <c r="L21" s="245">
        <v>0.4</v>
      </c>
    </row>
    <row r="22" spans="1:12" ht="15">
      <c r="A22" s="244" t="s">
        <v>1299</v>
      </c>
      <c r="B22" s="240">
        <v>40</v>
      </c>
      <c r="C22" s="240">
        <v>115</v>
      </c>
      <c r="D22" s="240">
        <v>0</v>
      </c>
      <c r="E22" s="240">
        <v>90</v>
      </c>
      <c r="F22" s="243">
        <v>10</v>
      </c>
      <c r="G22" s="243">
        <v>10</v>
      </c>
      <c r="H22" s="243">
        <v>15</v>
      </c>
      <c r="I22" s="245">
        <v>1.81</v>
      </c>
      <c r="J22" s="245">
        <v>0.75</v>
      </c>
      <c r="K22" s="245">
        <v>0.55000000000000004</v>
      </c>
      <c r="L22" s="245">
        <v>0.2</v>
      </c>
    </row>
    <row r="23" spans="1:12" ht="15">
      <c r="A23" s="239" t="s">
        <v>1302</v>
      </c>
      <c r="B23" s="240">
        <v>35</v>
      </c>
      <c r="C23" s="240">
        <v>0</v>
      </c>
      <c r="D23" s="240">
        <v>0</v>
      </c>
      <c r="E23" s="240">
        <v>60</v>
      </c>
      <c r="F23" s="240">
        <v>0</v>
      </c>
      <c r="G23" s="240">
        <v>0</v>
      </c>
      <c r="H23" s="240">
        <v>0</v>
      </c>
      <c r="I23" s="241">
        <v>5.0999999999999996</v>
      </c>
      <c r="J23" s="241">
        <v>1.4</v>
      </c>
      <c r="K23" s="241">
        <v>4</v>
      </c>
      <c r="L23" s="241">
        <v>0.5</v>
      </c>
    </row>
    <row r="24" spans="1:12" ht="15">
      <c r="A24" s="239" t="s">
        <v>1301</v>
      </c>
      <c r="B24" s="240">
        <v>35</v>
      </c>
      <c r="C24" s="240">
        <v>0</v>
      </c>
      <c r="D24" s="240">
        <v>0</v>
      </c>
      <c r="E24" s="240">
        <v>60</v>
      </c>
      <c r="F24" s="240">
        <v>0</v>
      </c>
      <c r="G24" s="240">
        <v>0</v>
      </c>
      <c r="H24" s="240">
        <v>0</v>
      </c>
      <c r="I24" s="241">
        <v>3.6</v>
      </c>
      <c r="J24" s="241">
        <v>1.1000000000000001</v>
      </c>
      <c r="K24" s="241">
        <v>1.4</v>
      </c>
      <c r="L24" s="241">
        <v>0.2</v>
      </c>
    </row>
    <row r="25" spans="1:12" ht="15">
      <c r="A25" s="239" t="s">
        <v>1305</v>
      </c>
      <c r="B25" s="240">
        <v>650</v>
      </c>
      <c r="C25" s="240">
        <v>190</v>
      </c>
      <c r="D25" s="240">
        <v>0</v>
      </c>
      <c r="E25" s="240">
        <v>90</v>
      </c>
      <c r="F25" s="240">
        <v>100</v>
      </c>
      <c r="G25" s="240">
        <v>10</v>
      </c>
      <c r="H25" s="240">
        <v>15</v>
      </c>
      <c r="I25" s="241">
        <v>0.3</v>
      </c>
      <c r="J25" s="241">
        <v>0.12</v>
      </c>
      <c r="K25" s="241">
        <v>0.75</v>
      </c>
      <c r="L25" s="241">
        <v>0.08</v>
      </c>
    </row>
    <row r="26" spans="1:12" ht="15">
      <c r="A26" s="239" t="s">
        <v>1304</v>
      </c>
      <c r="B26" s="240">
        <v>650</v>
      </c>
      <c r="C26" s="240">
        <v>190</v>
      </c>
      <c r="D26" s="240">
        <v>0</v>
      </c>
      <c r="E26" s="240">
        <v>90</v>
      </c>
      <c r="F26" s="240">
        <v>100</v>
      </c>
      <c r="G26" s="240">
        <v>10</v>
      </c>
      <c r="H26" s="240">
        <v>15</v>
      </c>
      <c r="I26" s="241">
        <v>0.18</v>
      </c>
      <c r="J26" s="241">
        <v>0.09</v>
      </c>
      <c r="K26" s="241">
        <v>0.5</v>
      </c>
      <c r="L26" s="241">
        <v>0.05</v>
      </c>
    </row>
    <row r="27" spans="1:12" ht="15">
      <c r="A27" s="239" t="s">
        <v>1307</v>
      </c>
      <c r="B27" s="240">
        <v>850</v>
      </c>
      <c r="C27" s="240">
        <v>220</v>
      </c>
      <c r="D27" s="240">
        <v>0</v>
      </c>
      <c r="E27" s="240">
        <v>90</v>
      </c>
      <c r="F27" s="240">
        <v>100</v>
      </c>
      <c r="G27" s="240">
        <v>10</v>
      </c>
      <c r="H27" s="240">
        <v>15</v>
      </c>
      <c r="I27" s="241">
        <v>0.24</v>
      </c>
      <c r="J27" s="241">
        <v>0.09</v>
      </c>
      <c r="K27" s="241">
        <v>0.6</v>
      </c>
      <c r="L27" s="241">
        <v>0.08</v>
      </c>
    </row>
    <row r="28" spans="1:12" ht="15">
      <c r="A28" s="239" t="s">
        <v>1306</v>
      </c>
      <c r="B28" s="240">
        <v>850</v>
      </c>
      <c r="C28" s="240">
        <v>220</v>
      </c>
      <c r="D28" s="240">
        <v>0</v>
      </c>
      <c r="E28" s="240">
        <v>90</v>
      </c>
      <c r="F28" s="240">
        <v>100</v>
      </c>
      <c r="G28" s="240">
        <v>10</v>
      </c>
      <c r="H28" s="240">
        <v>15</v>
      </c>
      <c r="I28" s="241">
        <v>0.14000000000000001</v>
      </c>
      <c r="J28" s="241">
        <v>7.0000000000000007E-2</v>
      </c>
      <c r="K28" s="241">
        <v>0.45</v>
      </c>
      <c r="L28" s="241">
        <v>0.05</v>
      </c>
    </row>
    <row r="29" spans="1:12" ht="15">
      <c r="A29" s="244" t="s">
        <v>1308</v>
      </c>
      <c r="B29" s="243">
        <v>50</v>
      </c>
      <c r="C29" s="243">
        <v>140</v>
      </c>
      <c r="D29" s="243">
        <v>0</v>
      </c>
      <c r="E29" s="243">
        <v>60</v>
      </c>
      <c r="F29" s="243">
        <v>10</v>
      </c>
      <c r="G29" s="243">
        <v>10</v>
      </c>
      <c r="H29" s="243">
        <v>15</v>
      </c>
      <c r="I29" s="246">
        <v>1.65</v>
      </c>
      <c r="J29" s="246">
        <v>0.8</v>
      </c>
      <c r="K29" s="246">
        <v>0.6</v>
      </c>
      <c r="L29" s="246">
        <v>0.2</v>
      </c>
    </row>
    <row r="30" spans="1:12" ht="15">
      <c r="A30" s="244" t="s">
        <v>1309</v>
      </c>
      <c r="B30" s="243">
        <v>50</v>
      </c>
      <c r="C30" s="243">
        <v>140</v>
      </c>
      <c r="D30" s="243">
        <v>0</v>
      </c>
      <c r="E30" s="243">
        <v>60</v>
      </c>
      <c r="F30" s="243">
        <v>10</v>
      </c>
      <c r="G30" s="243">
        <v>10</v>
      </c>
      <c r="H30" s="243">
        <v>15</v>
      </c>
      <c r="I30" s="246">
        <v>2.0499999999999998</v>
      </c>
      <c r="J30" s="246">
        <v>1.04</v>
      </c>
      <c r="K30" s="246">
        <v>1.79</v>
      </c>
      <c r="L30" s="246">
        <v>0.27</v>
      </c>
    </row>
    <row r="31" spans="1:12" ht="15">
      <c r="A31" s="244" t="s">
        <v>1310</v>
      </c>
      <c r="B31" s="243">
        <v>70</v>
      </c>
      <c r="C31" s="243">
        <v>180</v>
      </c>
      <c r="D31" s="243">
        <v>0</v>
      </c>
      <c r="E31" s="243">
        <v>90</v>
      </c>
      <c r="F31" s="243">
        <v>10</v>
      </c>
      <c r="G31" s="243">
        <v>10</v>
      </c>
      <c r="H31" s="243">
        <v>15</v>
      </c>
      <c r="I31" s="245">
        <v>1.65</v>
      </c>
      <c r="J31" s="245">
        <v>0.8</v>
      </c>
      <c r="K31" s="245">
        <v>0.6</v>
      </c>
      <c r="L31" s="245">
        <v>0.2</v>
      </c>
    </row>
    <row r="32" spans="1:12" ht="15">
      <c r="A32" s="244" t="s">
        <v>1311</v>
      </c>
      <c r="B32" s="243">
        <v>70</v>
      </c>
      <c r="C32" s="243">
        <v>180</v>
      </c>
      <c r="D32" s="243">
        <v>0</v>
      </c>
      <c r="E32" s="243">
        <v>90</v>
      </c>
      <c r="F32" s="243">
        <v>10</v>
      </c>
      <c r="G32" s="243">
        <v>10</v>
      </c>
      <c r="H32" s="243">
        <v>15</v>
      </c>
      <c r="I32" s="245">
        <v>2</v>
      </c>
      <c r="J32" s="245">
        <v>1.01</v>
      </c>
      <c r="K32" s="245">
        <v>1.79</v>
      </c>
      <c r="L32" s="245">
        <v>0.27</v>
      </c>
    </row>
    <row r="33" spans="1:12" ht="15">
      <c r="A33" s="239" t="s">
        <v>1313</v>
      </c>
      <c r="B33" s="240">
        <v>20</v>
      </c>
      <c r="C33" s="240">
        <v>200</v>
      </c>
      <c r="D33" s="240">
        <v>0</v>
      </c>
      <c r="E33" s="240">
        <v>60</v>
      </c>
      <c r="F33" s="240">
        <v>5</v>
      </c>
      <c r="G33" s="240">
        <v>10</v>
      </c>
      <c r="H33" s="240">
        <v>15</v>
      </c>
      <c r="I33" s="241">
        <v>14.2</v>
      </c>
      <c r="J33" s="241">
        <v>3.5</v>
      </c>
      <c r="K33" s="241">
        <v>13.3</v>
      </c>
      <c r="L33" s="241">
        <v>3.37</v>
      </c>
    </row>
    <row r="34" spans="1:12" ht="15">
      <c r="A34" s="239" t="s">
        <v>1312</v>
      </c>
      <c r="B34" s="240">
        <v>20</v>
      </c>
      <c r="C34" s="240">
        <v>200</v>
      </c>
      <c r="D34" s="240">
        <v>0</v>
      </c>
      <c r="E34" s="240">
        <v>60</v>
      </c>
      <c r="F34" s="240">
        <v>5</v>
      </c>
      <c r="G34" s="240">
        <v>10</v>
      </c>
      <c r="H34" s="240">
        <v>15</v>
      </c>
      <c r="I34" s="241">
        <v>2.2000000000000002</v>
      </c>
      <c r="J34" s="241">
        <v>0.7</v>
      </c>
      <c r="K34" s="241">
        <v>0.5</v>
      </c>
      <c r="L34" s="241">
        <v>0.17</v>
      </c>
    </row>
    <row r="35" spans="1:12" ht="15">
      <c r="A35" s="244" t="s">
        <v>1314</v>
      </c>
      <c r="B35" s="243">
        <v>55</v>
      </c>
      <c r="C35" s="243">
        <v>130</v>
      </c>
      <c r="D35" s="243">
        <v>0</v>
      </c>
      <c r="E35" s="243">
        <v>60</v>
      </c>
      <c r="F35" s="243">
        <v>10</v>
      </c>
      <c r="G35" s="243">
        <v>10</v>
      </c>
      <c r="H35" s="243">
        <v>15</v>
      </c>
      <c r="I35" s="245">
        <v>1.51</v>
      </c>
      <c r="J35" s="245">
        <v>0.8</v>
      </c>
      <c r="K35" s="245">
        <v>0.6</v>
      </c>
      <c r="L35" s="245">
        <v>0.2</v>
      </c>
    </row>
    <row r="36" spans="1:12" ht="15">
      <c r="A36" s="244" t="s">
        <v>1315</v>
      </c>
      <c r="B36" s="243">
        <v>55</v>
      </c>
      <c r="C36" s="243">
        <v>130</v>
      </c>
      <c r="D36" s="243">
        <v>0</v>
      </c>
      <c r="E36" s="243">
        <v>60</v>
      </c>
      <c r="F36" s="243">
        <v>10</v>
      </c>
      <c r="G36" s="243">
        <v>10</v>
      </c>
      <c r="H36" s="243">
        <v>15</v>
      </c>
      <c r="I36" s="245">
        <v>2.06</v>
      </c>
      <c r="J36" s="245">
        <v>1.1299999999999999</v>
      </c>
      <c r="K36" s="245">
        <v>2.4700000000000002</v>
      </c>
      <c r="L36" s="245">
        <v>0.42</v>
      </c>
    </row>
    <row r="37" spans="1:12" ht="15">
      <c r="A37" s="239" t="s">
        <v>1316</v>
      </c>
      <c r="B37" s="240">
        <v>150</v>
      </c>
      <c r="C37" s="240">
        <v>160</v>
      </c>
      <c r="D37" s="240">
        <v>0</v>
      </c>
      <c r="E37" s="240">
        <v>60</v>
      </c>
      <c r="F37" s="240">
        <v>50</v>
      </c>
      <c r="G37" s="240">
        <v>10</v>
      </c>
      <c r="H37" s="240">
        <v>15</v>
      </c>
      <c r="I37" s="241">
        <v>0.4</v>
      </c>
      <c r="J37" s="241">
        <v>0.3</v>
      </c>
      <c r="K37" s="241">
        <v>0.8</v>
      </c>
      <c r="L37" s="241">
        <v>0.36</v>
      </c>
    </row>
    <row r="38" spans="1:12" ht="15">
      <c r="A38" s="239" t="s">
        <v>1318</v>
      </c>
      <c r="B38" s="240">
        <v>50</v>
      </c>
      <c r="C38" s="240">
        <v>130</v>
      </c>
      <c r="D38" s="240">
        <v>0</v>
      </c>
      <c r="E38" s="240">
        <v>60</v>
      </c>
      <c r="F38" s="243">
        <v>10</v>
      </c>
      <c r="G38" s="243">
        <v>10</v>
      </c>
      <c r="H38" s="243">
        <v>15</v>
      </c>
      <c r="I38" s="241">
        <v>3.54</v>
      </c>
      <c r="J38" s="241">
        <v>2.29</v>
      </c>
      <c r="K38" s="241">
        <v>5.3</v>
      </c>
      <c r="L38" s="241">
        <v>0.9</v>
      </c>
    </row>
    <row r="39" spans="1:12" ht="15">
      <c r="A39" s="239" t="s">
        <v>1317</v>
      </c>
      <c r="B39" s="240">
        <v>50</v>
      </c>
      <c r="C39" s="240">
        <v>130</v>
      </c>
      <c r="D39" s="240">
        <v>0</v>
      </c>
      <c r="E39" s="240">
        <v>60</v>
      </c>
      <c r="F39" s="243">
        <v>10</v>
      </c>
      <c r="G39" s="243">
        <v>10</v>
      </c>
      <c r="H39" s="243">
        <v>15</v>
      </c>
      <c r="I39" s="241">
        <v>2.34</v>
      </c>
      <c r="J39" s="241">
        <v>0.89</v>
      </c>
      <c r="K39" s="241">
        <v>0.5</v>
      </c>
      <c r="L39" s="241">
        <v>0.3</v>
      </c>
    </row>
    <row r="40" spans="1:12" ht="15">
      <c r="A40" s="239" t="s">
        <v>1320</v>
      </c>
      <c r="B40" s="240">
        <v>17.5</v>
      </c>
      <c r="C40" s="240">
        <v>220</v>
      </c>
      <c r="D40" s="240">
        <v>0</v>
      </c>
      <c r="E40" s="240">
        <v>90</v>
      </c>
      <c r="F40" s="240">
        <v>1</v>
      </c>
      <c r="G40" s="240">
        <v>4</v>
      </c>
      <c r="H40" s="240">
        <v>4</v>
      </c>
      <c r="I40" s="241">
        <v>3</v>
      </c>
      <c r="J40" s="241">
        <v>1</v>
      </c>
      <c r="K40" s="241">
        <v>2.6</v>
      </c>
      <c r="L40" s="241">
        <v>0.5</v>
      </c>
    </row>
    <row r="41" spans="1:12" ht="15">
      <c r="A41" s="239" t="s">
        <v>1319</v>
      </c>
      <c r="B41" s="240">
        <v>17.5</v>
      </c>
      <c r="C41" s="240">
        <v>230</v>
      </c>
      <c r="D41" s="240">
        <v>0</v>
      </c>
      <c r="E41" s="240">
        <v>90</v>
      </c>
      <c r="F41" s="240">
        <v>1</v>
      </c>
      <c r="G41" s="240">
        <v>4</v>
      </c>
      <c r="H41" s="240">
        <v>4</v>
      </c>
      <c r="I41" s="241">
        <v>3</v>
      </c>
      <c r="J41" s="241">
        <v>1</v>
      </c>
      <c r="K41" s="241">
        <v>2.6</v>
      </c>
      <c r="L41" s="241">
        <v>0.5</v>
      </c>
    </row>
    <row r="42" spans="1:12" ht="15">
      <c r="A42" s="244" t="s">
        <v>1142</v>
      </c>
      <c r="B42" s="243">
        <v>450</v>
      </c>
      <c r="C42" s="243">
        <v>180</v>
      </c>
      <c r="D42" s="243">
        <v>0</v>
      </c>
      <c r="E42" s="243">
        <v>60</v>
      </c>
      <c r="F42" s="243">
        <v>50</v>
      </c>
      <c r="G42" s="243">
        <v>10</v>
      </c>
      <c r="H42" s="243">
        <v>10</v>
      </c>
      <c r="I42" s="245">
        <v>0.35</v>
      </c>
      <c r="J42" s="245">
        <v>0.14000000000000001</v>
      </c>
      <c r="K42" s="245">
        <v>0.6</v>
      </c>
      <c r="L42" s="245">
        <v>0.04</v>
      </c>
    </row>
    <row r="43" spans="1:12" ht="15">
      <c r="A43" s="244" t="s">
        <v>1321</v>
      </c>
      <c r="B43" s="243">
        <v>450</v>
      </c>
      <c r="C43" s="243">
        <v>180</v>
      </c>
      <c r="D43" s="243">
        <v>0</v>
      </c>
      <c r="E43" s="243">
        <v>60</v>
      </c>
      <c r="F43" s="243">
        <v>50</v>
      </c>
      <c r="G43" s="243">
        <v>10</v>
      </c>
      <c r="H43" s="243">
        <v>10</v>
      </c>
      <c r="I43" s="245">
        <v>0.39</v>
      </c>
      <c r="J43" s="245">
        <v>0.15</v>
      </c>
      <c r="K43" s="245">
        <v>0.67</v>
      </c>
      <c r="L43" s="245">
        <v>0.06</v>
      </c>
    </row>
    <row r="44" spans="1:12" ht="15">
      <c r="A44" s="244" t="s">
        <v>1322</v>
      </c>
      <c r="B44" s="243">
        <v>400</v>
      </c>
      <c r="C44" s="243">
        <v>220</v>
      </c>
      <c r="D44" s="243">
        <v>0</v>
      </c>
      <c r="E44" s="243">
        <v>60</v>
      </c>
      <c r="F44" s="243">
        <v>50</v>
      </c>
      <c r="G44" s="243">
        <v>10</v>
      </c>
      <c r="H44" s="243">
        <v>10</v>
      </c>
      <c r="I44" s="245">
        <v>0.35</v>
      </c>
      <c r="J44" s="245">
        <v>0.14000000000000001</v>
      </c>
      <c r="K44" s="245">
        <v>0.6</v>
      </c>
      <c r="L44" s="245">
        <v>0.04</v>
      </c>
    </row>
    <row r="45" spans="1:12" ht="15">
      <c r="A45" s="244" t="s">
        <v>1323</v>
      </c>
      <c r="B45" s="243">
        <v>400</v>
      </c>
      <c r="C45" s="243">
        <v>220</v>
      </c>
      <c r="D45" s="243">
        <v>0</v>
      </c>
      <c r="E45" s="243">
        <v>60</v>
      </c>
      <c r="F45" s="243">
        <v>50</v>
      </c>
      <c r="G45" s="243">
        <v>10</v>
      </c>
      <c r="H45" s="243">
        <v>10</v>
      </c>
      <c r="I45" s="245">
        <v>0.39</v>
      </c>
      <c r="J45" s="245">
        <v>0.15</v>
      </c>
      <c r="K45" s="245">
        <v>0.67</v>
      </c>
      <c r="L45" s="245">
        <v>0.06</v>
      </c>
    </row>
    <row r="46" spans="1:12" ht="15">
      <c r="A46" s="244" t="s">
        <v>2083</v>
      </c>
      <c r="B46" s="243">
        <v>250</v>
      </c>
      <c r="C46" s="243">
        <v>185</v>
      </c>
      <c r="D46" s="243">
        <v>0</v>
      </c>
      <c r="E46" s="243">
        <v>60</v>
      </c>
      <c r="F46" s="243">
        <v>50</v>
      </c>
      <c r="G46" s="243">
        <v>10</v>
      </c>
      <c r="H46" s="243">
        <v>15</v>
      </c>
      <c r="I46" s="241">
        <v>0.7</v>
      </c>
      <c r="J46" s="241">
        <v>0.3</v>
      </c>
      <c r="K46" s="241">
        <v>0.75</v>
      </c>
      <c r="L46" s="241">
        <v>0.9</v>
      </c>
    </row>
    <row r="47" spans="1:12" ht="15">
      <c r="A47" s="239" t="s">
        <v>1325</v>
      </c>
      <c r="B47" s="240">
        <v>5</v>
      </c>
      <c r="C47" s="240">
        <v>0</v>
      </c>
      <c r="D47" s="240">
        <v>0</v>
      </c>
      <c r="E47" s="240">
        <v>60</v>
      </c>
      <c r="F47" s="240">
        <v>0</v>
      </c>
      <c r="G47" s="240">
        <v>0</v>
      </c>
      <c r="H47" s="240">
        <v>0</v>
      </c>
      <c r="I47" s="241">
        <v>17.5</v>
      </c>
      <c r="J47" s="241">
        <v>3.86</v>
      </c>
      <c r="K47" s="241">
        <v>22.05</v>
      </c>
      <c r="L47" s="241">
        <v>3.47</v>
      </c>
    </row>
    <row r="48" spans="1:12" ht="15">
      <c r="A48" s="239" t="s">
        <v>1324</v>
      </c>
      <c r="B48" s="240">
        <v>5</v>
      </c>
      <c r="C48" s="240">
        <v>0</v>
      </c>
      <c r="D48" s="240">
        <v>0</v>
      </c>
      <c r="E48" s="240">
        <v>60</v>
      </c>
      <c r="F48" s="240">
        <v>0</v>
      </c>
      <c r="G48" s="240">
        <v>0</v>
      </c>
      <c r="H48" s="240">
        <v>0</v>
      </c>
      <c r="I48" s="241">
        <v>5.5</v>
      </c>
      <c r="J48" s="241">
        <v>1.46</v>
      </c>
      <c r="K48" s="241">
        <v>1.25</v>
      </c>
      <c r="L48" s="241">
        <v>0.27</v>
      </c>
    </row>
    <row r="49" spans="1:12" ht="15">
      <c r="A49" s="239" t="s">
        <v>1303</v>
      </c>
      <c r="B49" s="240">
        <v>80</v>
      </c>
      <c r="C49" s="240">
        <v>100</v>
      </c>
      <c r="D49" s="240">
        <v>0</v>
      </c>
      <c r="E49" s="240">
        <v>60</v>
      </c>
      <c r="F49" s="240">
        <v>5</v>
      </c>
      <c r="G49" s="240">
        <v>10</v>
      </c>
      <c r="H49" s="240">
        <v>15</v>
      </c>
      <c r="I49" s="241">
        <v>1</v>
      </c>
      <c r="J49" s="241">
        <v>0.64</v>
      </c>
      <c r="K49" s="241">
        <v>1.71</v>
      </c>
      <c r="L49" s="241">
        <v>0.1</v>
      </c>
    </row>
    <row r="50" spans="1:12" ht="15">
      <c r="A50" s="244" t="s">
        <v>1337</v>
      </c>
      <c r="B50" s="243">
        <v>20</v>
      </c>
      <c r="C50" s="243">
        <v>100</v>
      </c>
      <c r="D50" s="243">
        <v>0</v>
      </c>
      <c r="E50" s="243">
        <v>60</v>
      </c>
      <c r="F50" s="243">
        <v>1</v>
      </c>
      <c r="G50" s="243">
        <v>2</v>
      </c>
      <c r="H50" s="243">
        <v>3</v>
      </c>
      <c r="I50" s="245">
        <v>3.5</v>
      </c>
      <c r="J50" s="245">
        <v>1.2</v>
      </c>
      <c r="K50" s="245">
        <v>1</v>
      </c>
      <c r="L50" s="245">
        <v>0.8</v>
      </c>
    </row>
    <row r="51" spans="1:12" ht="15">
      <c r="A51" s="244" t="s">
        <v>1338</v>
      </c>
      <c r="B51" s="243">
        <v>20</v>
      </c>
      <c r="C51" s="243">
        <v>100</v>
      </c>
      <c r="D51" s="243">
        <v>0</v>
      </c>
      <c r="E51" s="243">
        <v>60</v>
      </c>
      <c r="F51" s="243">
        <v>1</v>
      </c>
      <c r="G51" s="243">
        <v>2</v>
      </c>
      <c r="H51" s="243">
        <v>3</v>
      </c>
      <c r="I51" s="245">
        <v>4.3</v>
      </c>
      <c r="J51" s="245">
        <v>1.5</v>
      </c>
      <c r="K51" s="245">
        <v>3.1</v>
      </c>
      <c r="L51" s="245">
        <v>0.95</v>
      </c>
    </row>
    <row r="52" spans="1:12" ht="15">
      <c r="A52" s="239" t="s">
        <v>1327</v>
      </c>
      <c r="B52" s="240">
        <v>20</v>
      </c>
      <c r="C52" s="240">
        <v>110</v>
      </c>
      <c r="D52" s="240">
        <v>0</v>
      </c>
      <c r="E52" s="240">
        <v>60</v>
      </c>
      <c r="F52" s="240">
        <v>5</v>
      </c>
      <c r="G52" s="240">
        <v>10</v>
      </c>
      <c r="H52" s="240">
        <v>15</v>
      </c>
      <c r="I52" s="241">
        <v>4.3</v>
      </c>
      <c r="J52" s="241">
        <v>1.5</v>
      </c>
      <c r="K52" s="241">
        <v>3.1</v>
      </c>
      <c r="L52" s="241">
        <v>0.95</v>
      </c>
    </row>
    <row r="53" spans="1:12" ht="15">
      <c r="A53" s="239" t="s">
        <v>1326</v>
      </c>
      <c r="B53" s="240">
        <v>20</v>
      </c>
      <c r="C53" s="240">
        <v>110</v>
      </c>
      <c r="D53" s="240">
        <v>0</v>
      </c>
      <c r="E53" s="240">
        <v>60</v>
      </c>
      <c r="F53" s="240">
        <v>5</v>
      </c>
      <c r="G53" s="240">
        <v>10</v>
      </c>
      <c r="H53" s="240">
        <v>15</v>
      </c>
      <c r="I53" s="241">
        <v>3.5</v>
      </c>
      <c r="J53" s="241">
        <v>1.2</v>
      </c>
      <c r="K53" s="241">
        <v>1</v>
      </c>
      <c r="L53" s="241">
        <v>0.8</v>
      </c>
    </row>
    <row r="54" spans="1:12" ht="15">
      <c r="A54" s="239" t="s">
        <v>1329</v>
      </c>
      <c r="B54" s="240">
        <v>15</v>
      </c>
      <c r="C54" s="240">
        <v>0</v>
      </c>
      <c r="D54" s="240">
        <v>0</v>
      </c>
      <c r="E54" s="240">
        <v>60</v>
      </c>
      <c r="F54" s="240">
        <v>0</v>
      </c>
      <c r="G54" s="240">
        <v>0</v>
      </c>
      <c r="H54" s="240">
        <v>0</v>
      </c>
      <c r="I54" s="241">
        <v>5.08</v>
      </c>
      <c r="J54" s="241">
        <v>1.4</v>
      </c>
      <c r="K54" s="241">
        <v>4</v>
      </c>
      <c r="L54" s="241">
        <v>0.5</v>
      </c>
    </row>
    <row r="55" spans="1:12" ht="15">
      <c r="A55" s="239" t="s">
        <v>1328</v>
      </c>
      <c r="B55" s="240">
        <v>15</v>
      </c>
      <c r="C55" s="240">
        <v>0</v>
      </c>
      <c r="D55" s="240">
        <v>0</v>
      </c>
      <c r="E55" s="240">
        <v>60</v>
      </c>
      <c r="F55" s="240">
        <v>0</v>
      </c>
      <c r="G55" s="240">
        <v>0</v>
      </c>
      <c r="H55" s="240">
        <v>0</v>
      </c>
      <c r="I55" s="241">
        <v>3.58</v>
      </c>
      <c r="J55" s="241">
        <v>1.1000000000000001</v>
      </c>
      <c r="K55" s="241">
        <v>1.4</v>
      </c>
      <c r="L55" s="241">
        <v>0.2</v>
      </c>
    </row>
    <row r="56" spans="1:12" ht="15">
      <c r="A56" s="239" t="s">
        <v>1331</v>
      </c>
      <c r="B56" s="240">
        <v>30</v>
      </c>
      <c r="C56" s="240">
        <v>0</v>
      </c>
      <c r="D56" s="240">
        <v>0</v>
      </c>
      <c r="E56" s="240">
        <v>60</v>
      </c>
      <c r="F56" s="240">
        <v>0</v>
      </c>
      <c r="G56" s="240">
        <v>0</v>
      </c>
      <c r="H56" s="240">
        <v>0</v>
      </c>
      <c r="I56" s="241">
        <v>5.98</v>
      </c>
      <c r="J56" s="241">
        <v>1.32</v>
      </c>
      <c r="K56" s="241">
        <v>3.59</v>
      </c>
      <c r="L56" s="241">
        <v>0.5</v>
      </c>
    </row>
    <row r="57" spans="1:12" ht="15">
      <c r="A57" s="239" t="s">
        <v>1330</v>
      </c>
      <c r="B57" s="240">
        <v>30</v>
      </c>
      <c r="C57" s="240">
        <v>0</v>
      </c>
      <c r="D57" s="240">
        <v>0</v>
      </c>
      <c r="E57" s="240">
        <v>60</v>
      </c>
      <c r="F57" s="240">
        <v>0</v>
      </c>
      <c r="G57" s="240">
        <v>0</v>
      </c>
      <c r="H57" s="240">
        <v>0</v>
      </c>
      <c r="I57" s="241">
        <v>4.4800000000000004</v>
      </c>
      <c r="J57" s="241">
        <v>1.02</v>
      </c>
      <c r="K57" s="241">
        <v>0.99</v>
      </c>
      <c r="L57" s="241">
        <v>0.2</v>
      </c>
    </row>
    <row r="58" spans="1:12" ht="15">
      <c r="A58" s="244" t="s">
        <v>1332</v>
      </c>
      <c r="B58" s="243">
        <v>90</v>
      </c>
      <c r="C58" s="243">
        <v>200</v>
      </c>
      <c r="D58" s="243">
        <v>0</v>
      </c>
      <c r="E58" s="243">
        <v>90</v>
      </c>
      <c r="F58" s="243">
        <v>10</v>
      </c>
      <c r="G58" s="243">
        <v>10</v>
      </c>
      <c r="H58" s="243">
        <v>15</v>
      </c>
      <c r="I58" s="245">
        <v>1.38</v>
      </c>
      <c r="J58" s="245">
        <v>0.8</v>
      </c>
      <c r="K58" s="245">
        <v>0.5</v>
      </c>
      <c r="L58" s="245">
        <v>0.2</v>
      </c>
    </row>
    <row r="59" spans="1:12" ht="15">
      <c r="A59" s="244" t="s">
        <v>1333</v>
      </c>
      <c r="B59" s="243">
        <v>90</v>
      </c>
      <c r="C59" s="243">
        <v>200</v>
      </c>
      <c r="D59" s="243">
        <v>0</v>
      </c>
      <c r="E59" s="243">
        <v>90</v>
      </c>
      <c r="F59" s="243">
        <v>10</v>
      </c>
      <c r="G59" s="243">
        <v>10</v>
      </c>
      <c r="H59" s="243">
        <v>15</v>
      </c>
      <c r="I59" s="245">
        <v>2.2799999999999998</v>
      </c>
      <c r="J59" s="245">
        <v>1</v>
      </c>
      <c r="K59" s="245">
        <v>2.5</v>
      </c>
      <c r="L59" s="245">
        <v>0.6</v>
      </c>
    </row>
    <row r="60" spans="1:12" ht="15">
      <c r="A60" s="244" t="s">
        <v>1334</v>
      </c>
      <c r="B60" s="243">
        <v>450</v>
      </c>
      <c r="C60" s="243">
        <v>200</v>
      </c>
      <c r="D60" s="243">
        <v>0</v>
      </c>
      <c r="E60" s="243">
        <v>90</v>
      </c>
      <c r="F60" s="243">
        <v>50</v>
      </c>
      <c r="G60" s="243">
        <v>10</v>
      </c>
      <c r="H60" s="243">
        <v>10</v>
      </c>
      <c r="I60" s="245">
        <v>0.38</v>
      </c>
      <c r="J60" s="245">
        <v>0.16</v>
      </c>
      <c r="K60" s="245">
        <v>0.45</v>
      </c>
      <c r="L60" s="245">
        <v>0.09</v>
      </c>
    </row>
    <row r="61" spans="1:12" ht="15">
      <c r="A61" s="244" t="s">
        <v>1335</v>
      </c>
      <c r="B61" s="243">
        <v>450</v>
      </c>
      <c r="C61" s="243">
        <v>200</v>
      </c>
      <c r="D61" s="243">
        <v>0</v>
      </c>
      <c r="E61" s="243">
        <v>90</v>
      </c>
      <c r="F61" s="243">
        <v>50</v>
      </c>
      <c r="G61" s="243">
        <v>10</v>
      </c>
      <c r="H61" s="243">
        <v>10</v>
      </c>
      <c r="I61" s="245">
        <v>0.47</v>
      </c>
      <c r="J61" s="245">
        <v>0.18</v>
      </c>
      <c r="K61" s="245">
        <v>0.56000000000000005</v>
      </c>
      <c r="L61" s="245">
        <v>0.11</v>
      </c>
    </row>
    <row r="62" spans="1:12" ht="15">
      <c r="A62" s="239" t="s">
        <v>1336</v>
      </c>
      <c r="B62" s="240">
        <v>200</v>
      </c>
      <c r="C62" s="240">
        <v>100</v>
      </c>
      <c r="D62" s="240">
        <v>0</v>
      </c>
      <c r="E62" s="240">
        <v>60</v>
      </c>
      <c r="F62" s="240">
        <v>50</v>
      </c>
      <c r="G62" s="240">
        <v>10</v>
      </c>
      <c r="H62" s="240">
        <v>15</v>
      </c>
      <c r="I62" s="241">
        <v>0.15</v>
      </c>
      <c r="J62" s="241">
        <v>0.12</v>
      </c>
      <c r="K62" s="241">
        <v>0.4</v>
      </c>
      <c r="L62" s="241">
        <v>0.1</v>
      </c>
    </row>
    <row r="63" spans="1:12" ht="15">
      <c r="A63" s="239" t="s">
        <v>1340</v>
      </c>
      <c r="B63" s="240">
        <v>30</v>
      </c>
      <c r="C63" s="240">
        <v>120</v>
      </c>
      <c r="D63" s="240">
        <v>0</v>
      </c>
      <c r="E63" s="240">
        <v>60</v>
      </c>
      <c r="F63" s="240">
        <v>5</v>
      </c>
      <c r="G63" s="240">
        <v>10</v>
      </c>
      <c r="H63" s="240">
        <v>15</v>
      </c>
      <c r="I63" s="241">
        <v>3.44</v>
      </c>
      <c r="J63" s="241">
        <v>2.34</v>
      </c>
      <c r="K63" s="241">
        <v>5.75</v>
      </c>
      <c r="L63" s="241">
        <v>0.92</v>
      </c>
    </row>
    <row r="64" spans="1:12" ht="15">
      <c r="A64" s="239" t="s">
        <v>1339</v>
      </c>
      <c r="B64" s="240">
        <v>30</v>
      </c>
      <c r="C64" s="240">
        <v>120</v>
      </c>
      <c r="D64" s="240">
        <v>0</v>
      </c>
      <c r="E64" s="240">
        <v>60</v>
      </c>
      <c r="F64" s="240">
        <v>5</v>
      </c>
      <c r="G64" s="240">
        <v>10</v>
      </c>
      <c r="H64" s="240">
        <v>15</v>
      </c>
      <c r="I64" s="241">
        <v>2.2400000000000002</v>
      </c>
      <c r="J64" s="241">
        <v>0.94</v>
      </c>
      <c r="K64" s="241">
        <v>0.95</v>
      </c>
      <c r="L64" s="241">
        <v>0.32</v>
      </c>
    </row>
    <row r="65" spans="1:12" ht="15">
      <c r="A65" s="244" t="s">
        <v>1341</v>
      </c>
      <c r="B65" s="243">
        <v>40</v>
      </c>
      <c r="C65" s="243">
        <v>200</v>
      </c>
      <c r="D65" s="243">
        <v>0</v>
      </c>
      <c r="E65" s="243">
        <v>90</v>
      </c>
      <c r="F65" s="243">
        <v>5</v>
      </c>
      <c r="G65" s="243">
        <v>10</v>
      </c>
      <c r="H65" s="243">
        <v>15</v>
      </c>
      <c r="I65" s="245">
        <v>3.35</v>
      </c>
      <c r="J65" s="245">
        <v>1.8</v>
      </c>
      <c r="K65" s="245">
        <v>1</v>
      </c>
      <c r="L65" s="245">
        <v>0.5</v>
      </c>
    </row>
    <row r="66" spans="1:12" ht="15">
      <c r="A66" s="244" t="s">
        <v>1342</v>
      </c>
      <c r="B66" s="243">
        <v>40</v>
      </c>
      <c r="C66" s="243">
        <v>200</v>
      </c>
      <c r="D66" s="243">
        <v>0</v>
      </c>
      <c r="E66" s="243">
        <v>90</v>
      </c>
      <c r="F66" s="243">
        <v>5</v>
      </c>
      <c r="G66" s="243">
        <v>10</v>
      </c>
      <c r="H66" s="243">
        <v>15</v>
      </c>
      <c r="I66" s="245">
        <v>4.54</v>
      </c>
      <c r="J66" s="245">
        <v>2.48</v>
      </c>
      <c r="K66" s="245">
        <v>5</v>
      </c>
      <c r="L66" s="245">
        <v>1.2</v>
      </c>
    </row>
    <row r="67" spans="1:12" ht="15">
      <c r="A67" s="244" t="s">
        <v>1343</v>
      </c>
      <c r="B67" s="243">
        <v>70</v>
      </c>
      <c r="C67" s="243">
        <v>170</v>
      </c>
      <c r="D67" s="243">
        <v>0</v>
      </c>
      <c r="E67" s="243">
        <v>90</v>
      </c>
      <c r="F67" s="243">
        <v>10</v>
      </c>
      <c r="G67" s="243">
        <v>10</v>
      </c>
      <c r="H67" s="243">
        <v>15</v>
      </c>
      <c r="I67" s="245">
        <v>1.51</v>
      </c>
      <c r="J67" s="245">
        <v>0.8</v>
      </c>
      <c r="K67" s="245">
        <v>0.6</v>
      </c>
      <c r="L67" s="245">
        <v>0.1</v>
      </c>
    </row>
    <row r="68" spans="1:12" ht="15">
      <c r="A68" s="244" t="s">
        <v>1344</v>
      </c>
      <c r="B68" s="243">
        <v>70</v>
      </c>
      <c r="C68" s="243">
        <v>170</v>
      </c>
      <c r="D68" s="243">
        <v>0</v>
      </c>
      <c r="E68" s="243">
        <v>90</v>
      </c>
      <c r="F68" s="243">
        <v>10</v>
      </c>
      <c r="G68" s="243">
        <v>10</v>
      </c>
      <c r="H68" s="243">
        <v>15</v>
      </c>
      <c r="I68" s="245">
        <v>1.96</v>
      </c>
      <c r="J68" s="245">
        <v>1.07</v>
      </c>
      <c r="K68" s="245">
        <v>2.4</v>
      </c>
      <c r="L68" s="245">
        <v>0.28000000000000003</v>
      </c>
    </row>
    <row r="69" spans="1:12" ht="15">
      <c r="A69" s="239" t="s">
        <v>1346</v>
      </c>
      <c r="B69" s="240">
        <v>25</v>
      </c>
      <c r="C69" s="240">
        <v>160</v>
      </c>
      <c r="D69" s="240">
        <v>0</v>
      </c>
      <c r="E69" s="240">
        <v>90</v>
      </c>
      <c r="F69" s="240">
        <v>5</v>
      </c>
      <c r="G69" s="240">
        <v>10</v>
      </c>
      <c r="H69" s="240">
        <v>15</v>
      </c>
      <c r="I69" s="241">
        <v>6.13</v>
      </c>
      <c r="J69" s="241">
        <v>2.37</v>
      </c>
      <c r="K69" s="241">
        <v>4.68</v>
      </c>
      <c r="L69" s="241">
        <v>0.53</v>
      </c>
    </row>
    <row r="70" spans="1:12" ht="15">
      <c r="A70" s="239" t="s">
        <v>1345</v>
      </c>
      <c r="B70" s="240">
        <v>25</v>
      </c>
      <c r="C70" s="240">
        <v>160</v>
      </c>
      <c r="D70" s="240">
        <v>0</v>
      </c>
      <c r="E70" s="240">
        <v>90</v>
      </c>
      <c r="F70" s="240">
        <v>5</v>
      </c>
      <c r="G70" s="240">
        <v>10</v>
      </c>
      <c r="H70" s="240">
        <v>15</v>
      </c>
      <c r="I70" s="241">
        <v>5.08</v>
      </c>
      <c r="J70" s="241">
        <v>1.77</v>
      </c>
      <c r="K70" s="241">
        <v>0.93</v>
      </c>
      <c r="L70" s="241">
        <v>0.3</v>
      </c>
    </row>
    <row r="71" spans="1:12" ht="15">
      <c r="A71" s="239" t="s">
        <v>1347</v>
      </c>
      <c r="B71" s="240">
        <v>500</v>
      </c>
      <c r="C71" s="240">
        <v>140</v>
      </c>
      <c r="D71" s="240">
        <v>0</v>
      </c>
      <c r="E71" s="240">
        <v>60</v>
      </c>
      <c r="F71" s="240">
        <v>50</v>
      </c>
      <c r="G71" s="240">
        <v>10</v>
      </c>
      <c r="H71" s="240">
        <v>15</v>
      </c>
      <c r="I71" s="241">
        <v>0.28000000000000003</v>
      </c>
      <c r="J71" s="241">
        <v>0.14000000000000001</v>
      </c>
      <c r="K71" s="241">
        <v>0.64</v>
      </c>
      <c r="L71" s="241">
        <v>0.18</v>
      </c>
    </row>
    <row r="72" spans="1:12" ht="15">
      <c r="A72" s="239" t="s">
        <v>1349</v>
      </c>
      <c r="B72" s="240">
        <v>20</v>
      </c>
      <c r="C72" s="240">
        <v>0</v>
      </c>
      <c r="D72" s="240">
        <v>0</v>
      </c>
      <c r="E72" s="240">
        <v>60</v>
      </c>
      <c r="F72" s="240">
        <v>0</v>
      </c>
      <c r="G72" s="240">
        <v>0</v>
      </c>
      <c r="H72" s="240">
        <v>0</v>
      </c>
      <c r="I72" s="241">
        <v>5.9</v>
      </c>
      <c r="J72" s="241">
        <v>1.4</v>
      </c>
      <c r="K72" s="241">
        <v>4</v>
      </c>
      <c r="L72" s="241">
        <v>0.63</v>
      </c>
    </row>
    <row r="73" spans="1:12" ht="15">
      <c r="A73" s="239" t="s">
        <v>1348</v>
      </c>
      <c r="B73" s="240">
        <v>20</v>
      </c>
      <c r="C73" s="240">
        <v>0</v>
      </c>
      <c r="D73" s="240">
        <v>0</v>
      </c>
      <c r="E73" s="240">
        <v>60</v>
      </c>
      <c r="F73" s="240">
        <v>0</v>
      </c>
      <c r="G73" s="240">
        <v>0</v>
      </c>
      <c r="H73" s="240">
        <v>0</v>
      </c>
      <c r="I73" s="241">
        <v>4.4000000000000004</v>
      </c>
      <c r="J73" s="241">
        <v>1.1000000000000001</v>
      </c>
      <c r="K73" s="241">
        <v>1.4</v>
      </c>
      <c r="L73" s="241">
        <v>0.33</v>
      </c>
    </row>
    <row r="74" spans="1:12" ht="15">
      <c r="A74" s="244" t="s">
        <v>1350</v>
      </c>
      <c r="B74" s="243">
        <v>30</v>
      </c>
      <c r="C74" s="243">
        <v>120</v>
      </c>
      <c r="D74" s="243">
        <v>0</v>
      </c>
      <c r="E74" s="243">
        <v>90</v>
      </c>
      <c r="F74" s="243">
        <v>5</v>
      </c>
      <c r="G74" s="243">
        <v>10</v>
      </c>
      <c r="H74" s="243">
        <v>15</v>
      </c>
      <c r="I74" s="245">
        <v>2.91</v>
      </c>
      <c r="J74" s="245">
        <v>1.6</v>
      </c>
      <c r="K74" s="245">
        <v>2.4</v>
      </c>
      <c r="L74" s="245">
        <v>0.6</v>
      </c>
    </row>
    <row r="75" spans="1:12" ht="15">
      <c r="A75" s="244" t="s">
        <v>1351</v>
      </c>
      <c r="B75" s="243">
        <v>30</v>
      </c>
      <c r="C75" s="243">
        <v>120</v>
      </c>
      <c r="D75" s="243">
        <v>0</v>
      </c>
      <c r="E75" s="243">
        <v>90</v>
      </c>
      <c r="F75" s="243">
        <v>5</v>
      </c>
      <c r="G75" s="243">
        <v>10</v>
      </c>
      <c r="H75" s="243">
        <v>15</v>
      </c>
      <c r="I75" s="245">
        <v>4.91</v>
      </c>
      <c r="J75" s="245">
        <v>3.4</v>
      </c>
      <c r="K75" s="245">
        <v>11.4</v>
      </c>
      <c r="L75" s="245">
        <v>1.2</v>
      </c>
    </row>
    <row r="76" spans="1:12" ht="15">
      <c r="A76" s="244" t="s">
        <v>1352</v>
      </c>
      <c r="B76" s="243">
        <v>450</v>
      </c>
      <c r="C76" s="243">
        <v>200</v>
      </c>
      <c r="D76" s="243">
        <v>0</v>
      </c>
      <c r="E76" s="243">
        <v>60</v>
      </c>
      <c r="F76" s="243">
        <v>10</v>
      </c>
      <c r="G76" s="243">
        <v>2</v>
      </c>
      <c r="H76" s="243">
        <v>3</v>
      </c>
      <c r="I76" s="245">
        <v>0.41</v>
      </c>
      <c r="J76" s="245">
        <v>0.18</v>
      </c>
      <c r="K76" s="245">
        <v>0.48</v>
      </c>
      <c r="L76" s="245">
        <v>0.04</v>
      </c>
    </row>
    <row r="77" spans="1:12" ht="15">
      <c r="A77" s="239" t="s">
        <v>1353</v>
      </c>
      <c r="B77" s="240">
        <v>450</v>
      </c>
      <c r="C77" s="240">
        <v>200</v>
      </c>
      <c r="D77" s="240">
        <v>0</v>
      </c>
      <c r="E77" s="240">
        <v>60</v>
      </c>
      <c r="F77" s="240">
        <v>50</v>
      </c>
      <c r="G77" s="240">
        <v>10</v>
      </c>
      <c r="H77" s="240">
        <v>15</v>
      </c>
      <c r="I77" s="241">
        <v>0.43</v>
      </c>
      <c r="J77" s="241">
        <v>0.14000000000000001</v>
      </c>
      <c r="K77" s="241">
        <v>0.49</v>
      </c>
      <c r="L77" s="241">
        <v>0.1</v>
      </c>
    </row>
    <row r="78" spans="1:12" ht="15">
      <c r="A78" s="239" t="s">
        <v>1354</v>
      </c>
      <c r="B78" s="240">
        <v>400</v>
      </c>
      <c r="C78" s="240">
        <v>125</v>
      </c>
      <c r="D78" s="240">
        <v>0</v>
      </c>
      <c r="E78" s="240">
        <v>60</v>
      </c>
      <c r="F78" s="240">
        <v>10</v>
      </c>
      <c r="G78" s="240">
        <v>3.125</v>
      </c>
      <c r="H78" s="240">
        <v>3</v>
      </c>
      <c r="I78" s="241">
        <v>0.2</v>
      </c>
      <c r="J78" s="241">
        <v>0.08</v>
      </c>
      <c r="K78" s="241">
        <v>0.42</v>
      </c>
      <c r="L78" s="241">
        <v>2.5000000000000001E-2</v>
      </c>
    </row>
    <row r="79" spans="1:12" ht="15">
      <c r="A79" s="239" t="s">
        <v>2084</v>
      </c>
      <c r="B79" s="240">
        <v>30</v>
      </c>
      <c r="C79" s="240">
        <v>260</v>
      </c>
      <c r="D79" s="240">
        <v>0</v>
      </c>
      <c r="E79" s="240">
        <v>60</v>
      </c>
      <c r="F79" s="240">
        <v>5</v>
      </c>
      <c r="G79" s="240">
        <v>25</v>
      </c>
      <c r="H79" s="240">
        <v>37.5</v>
      </c>
      <c r="I79" s="241">
        <v>4</v>
      </c>
      <c r="J79" s="241">
        <v>1.3</v>
      </c>
      <c r="K79" s="241">
        <v>6.9</v>
      </c>
      <c r="L79" s="241">
        <v>0.4</v>
      </c>
    </row>
    <row r="80" spans="1:12" ht="15">
      <c r="A80" s="239" t="s">
        <v>2123</v>
      </c>
      <c r="B80" s="240">
        <v>30</v>
      </c>
      <c r="C80" s="240">
        <v>100</v>
      </c>
      <c r="D80" s="240">
        <v>0</v>
      </c>
      <c r="E80" s="240">
        <v>60</v>
      </c>
      <c r="F80" s="240">
        <v>5</v>
      </c>
      <c r="G80" s="240">
        <v>10</v>
      </c>
      <c r="H80" s="240">
        <v>15</v>
      </c>
      <c r="I80" s="241">
        <v>4</v>
      </c>
      <c r="J80" s="241">
        <v>1.3</v>
      </c>
      <c r="K80" s="241">
        <v>6.9</v>
      </c>
      <c r="L80" s="241">
        <v>0.4</v>
      </c>
    </row>
    <row r="81" spans="1:12" ht="15">
      <c r="A81" s="239" t="s">
        <v>1355</v>
      </c>
      <c r="B81" s="240">
        <v>500</v>
      </c>
      <c r="C81" s="240">
        <v>150</v>
      </c>
      <c r="D81" s="240">
        <v>0</v>
      </c>
      <c r="E81" s="240">
        <v>90</v>
      </c>
      <c r="F81" s="240">
        <v>5</v>
      </c>
      <c r="G81" s="240">
        <v>10</v>
      </c>
      <c r="H81" s="240">
        <v>15</v>
      </c>
      <c r="I81" s="241">
        <v>0.26</v>
      </c>
      <c r="J81" s="241">
        <v>0.14000000000000001</v>
      </c>
      <c r="K81" s="241">
        <v>0.62</v>
      </c>
      <c r="L81" s="241">
        <v>0.02</v>
      </c>
    </row>
    <row r="82" spans="1:12" ht="15">
      <c r="A82" s="239" t="s">
        <v>1356</v>
      </c>
      <c r="B82" s="240">
        <v>500</v>
      </c>
      <c r="C82" s="240">
        <v>150</v>
      </c>
      <c r="D82" s="240">
        <v>0</v>
      </c>
      <c r="E82" s="240">
        <v>90</v>
      </c>
      <c r="F82" s="240">
        <v>5</v>
      </c>
      <c r="G82" s="240">
        <v>10</v>
      </c>
      <c r="H82" s="240">
        <v>15</v>
      </c>
      <c r="I82" s="241">
        <v>0.23</v>
      </c>
      <c r="J82" s="241">
        <v>0.11</v>
      </c>
      <c r="K82" s="241">
        <v>0.55000000000000004</v>
      </c>
      <c r="L82" s="241">
        <v>0.05</v>
      </c>
    </row>
    <row r="83" spans="1:12" ht="15">
      <c r="A83" s="244" t="s">
        <v>1357</v>
      </c>
      <c r="B83" s="243">
        <v>70</v>
      </c>
      <c r="C83" s="243">
        <v>190</v>
      </c>
      <c r="D83" s="243">
        <v>0</v>
      </c>
      <c r="E83" s="243">
        <v>90</v>
      </c>
      <c r="F83" s="243">
        <v>10</v>
      </c>
      <c r="G83" s="243">
        <v>10</v>
      </c>
      <c r="H83" s="243">
        <v>15</v>
      </c>
      <c r="I83" s="245">
        <v>1.65</v>
      </c>
      <c r="J83" s="245">
        <v>0.8</v>
      </c>
      <c r="K83" s="245">
        <v>0.6</v>
      </c>
      <c r="L83" s="245">
        <v>0.2</v>
      </c>
    </row>
    <row r="84" spans="1:12" ht="15">
      <c r="A84" s="244" t="s">
        <v>1358</v>
      </c>
      <c r="B84" s="243">
        <v>70</v>
      </c>
      <c r="C84" s="243">
        <v>190</v>
      </c>
      <c r="D84" s="243">
        <v>0</v>
      </c>
      <c r="E84" s="243">
        <v>90</v>
      </c>
      <c r="F84" s="243">
        <v>10</v>
      </c>
      <c r="G84" s="243">
        <v>10</v>
      </c>
      <c r="H84" s="243">
        <v>15</v>
      </c>
      <c r="I84" s="245">
        <v>2.1</v>
      </c>
      <c r="J84" s="245">
        <v>1.07</v>
      </c>
      <c r="K84" s="245">
        <v>2.13</v>
      </c>
      <c r="L84" s="245">
        <v>0.38</v>
      </c>
    </row>
    <row r="85" spans="1:12" ht="15">
      <c r="A85" s="244" t="s">
        <v>1359</v>
      </c>
      <c r="B85" s="243">
        <v>55</v>
      </c>
      <c r="C85" s="243">
        <v>200</v>
      </c>
      <c r="D85" s="243">
        <v>0</v>
      </c>
      <c r="E85" s="243">
        <v>90</v>
      </c>
      <c r="F85" s="243">
        <v>10</v>
      </c>
      <c r="G85" s="243">
        <v>10</v>
      </c>
      <c r="H85" s="243">
        <v>15</v>
      </c>
      <c r="I85" s="246">
        <v>1.81</v>
      </c>
      <c r="J85" s="246">
        <v>0.8</v>
      </c>
      <c r="K85" s="246">
        <v>0.6</v>
      </c>
      <c r="L85" s="246">
        <v>0.2</v>
      </c>
    </row>
    <row r="86" spans="1:12" ht="15">
      <c r="A86" s="244" t="s">
        <v>1360</v>
      </c>
      <c r="B86" s="243">
        <v>55</v>
      </c>
      <c r="C86" s="243">
        <v>200</v>
      </c>
      <c r="D86" s="243">
        <v>0</v>
      </c>
      <c r="E86" s="243">
        <v>90</v>
      </c>
      <c r="F86" s="243">
        <v>10</v>
      </c>
      <c r="G86" s="243">
        <v>10</v>
      </c>
      <c r="H86" s="243">
        <v>15</v>
      </c>
      <c r="I86" s="246">
        <v>2.21</v>
      </c>
      <c r="J86" s="246">
        <v>1.04</v>
      </c>
      <c r="K86" s="246">
        <v>1.72</v>
      </c>
      <c r="L86" s="246">
        <v>0.36</v>
      </c>
    </row>
    <row r="87" spans="1:12" ht="15">
      <c r="A87" s="244" t="s">
        <v>1110</v>
      </c>
      <c r="B87" s="243">
        <v>70</v>
      </c>
      <c r="C87" s="243">
        <v>220</v>
      </c>
      <c r="D87" s="243">
        <v>0</v>
      </c>
      <c r="E87" s="243">
        <v>60</v>
      </c>
      <c r="F87" s="243">
        <v>10</v>
      </c>
      <c r="G87" s="243">
        <v>10</v>
      </c>
      <c r="H87" s="243">
        <v>15</v>
      </c>
      <c r="I87" s="245">
        <v>2.11</v>
      </c>
      <c r="J87" s="245">
        <v>0.75</v>
      </c>
      <c r="K87" s="245">
        <v>0.55000000000000004</v>
      </c>
      <c r="L87" s="245">
        <v>0.2</v>
      </c>
    </row>
    <row r="88" spans="1:12" ht="15">
      <c r="A88" s="244" t="s">
        <v>1361</v>
      </c>
      <c r="B88" s="243">
        <v>70</v>
      </c>
      <c r="C88" s="243">
        <v>220</v>
      </c>
      <c r="D88" s="243">
        <v>0</v>
      </c>
      <c r="E88" s="243">
        <v>60</v>
      </c>
      <c r="F88" s="243">
        <v>10</v>
      </c>
      <c r="G88" s="243">
        <v>10</v>
      </c>
      <c r="H88" s="243">
        <v>15</v>
      </c>
      <c r="I88" s="245">
        <v>2.5099999999999998</v>
      </c>
      <c r="J88" s="245">
        <v>0.99</v>
      </c>
      <c r="K88" s="245">
        <v>1.67</v>
      </c>
      <c r="L88" s="245">
        <v>0.36</v>
      </c>
    </row>
    <row r="89" spans="1:12" ht="15">
      <c r="A89" s="244" t="s">
        <v>1362</v>
      </c>
      <c r="B89" s="243">
        <v>80</v>
      </c>
      <c r="C89" s="243">
        <v>230</v>
      </c>
      <c r="D89" s="243">
        <v>0</v>
      </c>
      <c r="E89" s="243">
        <v>90</v>
      </c>
      <c r="F89" s="243">
        <v>10</v>
      </c>
      <c r="G89" s="243">
        <v>10</v>
      </c>
      <c r="H89" s="243">
        <v>15</v>
      </c>
      <c r="I89" s="245">
        <v>2.11</v>
      </c>
      <c r="J89" s="245">
        <v>0.8</v>
      </c>
      <c r="K89" s="245">
        <v>0.55000000000000004</v>
      </c>
      <c r="L89" s="245">
        <v>0.2</v>
      </c>
    </row>
    <row r="90" spans="1:12" ht="15">
      <c r="A90" s="244" t="s">
        <v>1363</v>
      </c>
      <c r="B90" s="243">
        <v>80</v>
      </c>
      <c r="C90" s="243">
        <v>230</v>
      </c>
      <c r="D90" s="243">
        <v>0</v>
      </c>
      <c r="E90" s="243">
        <v>90</v>
      </c>
      <c r="F90" s="243">
        <v>10</v>
      </c>
      <c r="G90" s="243">
        <v>10</v>
      </c>
      <c r="H90" s="243">
        <v>15</v>
      </c>
      <c r="I90" s="245">
        <v>2.5099999999999998</v>
      </c>
      <c r="J90" s="245">
        <v>1.04</v>
      </c>
      <c r="K90" s="245">
        <v>1.67</v>
      </c>
      <c r="L90" s="245">
        <v>0.36</v>
      </c>
    </row>
    <row r="91" spans="1:12" ht="15">
      <c r="A91" s="244" t="s">
        <v>1364</v>
      </c>
      <c r="B91" s="243">
        <v>80</v>
      </c>
      <c r="C91" s="243">
        <v>210</v>
      </c>
      <c r="D91" s="243">
        <v>0</v>
      </c>
      <c r="E91" s="243">
        <v>90</v>
      </c>
      <c r="F91" s="243">
        <v>10</v>
      </c>
      <c r="G91" s="243">
        <v>10</v>
      </c>
      <c r="H91" s="243">
        <v>15</v>
      </c>
      <c r="I91" s="245">
        <v>1.81</v>
      </c>
      <c r="J91" s="245">
        <v>0.8</v>
      </c>
      <c r="K91" s="245">
        <v>0.55000000000000004</v>
      </c>
      <c r="L91" s="245">
        <v>0.2</v>
      </c>
    </row>
    <row r="92" spans="1:12" ht="15">
      <c r="A92" s="244" t="s">
        <v>1365</v>
      </c>
      <c r="B92" s="243">
        <v>80</v>
      </c>
      <c r="C92" s="243">
        <v>210</v>
      </c>
      <c r="D92" s="243">
        <v>0</v>
      </c>
      <c r="E92" s="243">
        <v>90</v>
      </c>
      <c r="F92" s="243">
        <v>10</v>
      </c>
      <c r="G92" s="243">
        <v>10</v>
      </c>
      <c r="H92" s="243">
        <v>15</v>
      </c>
      <c r="I92" s="245">
        <v>2.21</v>
      </c>
      <c r="J92" s="245">
        <v>1.04</v>
      </c>
      <c r="K92" s="245">
        <v>1.67</v>
      </c>
      <c r="L92" s="245">
        <v>0.36</v>
      </c>
    </row>
    <row r="93" spans="1:12" ht="15">
      <c r="A93" s="244" t="s">
        <v>1366</v>
      </c>
      <c r="B93" s="243">
        <v>80</v>
      </c>
      <c r="C93" s="243">
        <v>260</v>
      </c>
      <c r="D93" s="243">
        <v>0</v>
      </c>
      <c r="E93" s="243">
        <v>90</v>
      </c>
      <c r="F93" s="243">
        <v>10</v>
      </c>
      <c r="G93" s="243">
        <v>10</v>
      </c>
      <c r="H93" s="243">
        <v>15</v>
      </c>
      <c r="I93" s="245">
        <v>2.41</v>
      </c>
      <c r="J93" s="245">
        <v>0.8</v>
      </c>
      <c r="K93" s="245">
        <v>0.55000000000000004</v>
      </c>
      <c r="L93" s="245">
        <v>0.2</v>
      </c>
    </row>
    <row r="94" spans="1:12" ht="15">
      <c r="A94" s="244" t="s">
        <v>1367</v>
      </c>
      <c r="B94" s="243">
        <v>80</v>
      </c>
      <c r="C94" s="243">
        <v>260</v>
      </c>
      <c r="D94" s="243">
        <v>0</v>
      </c>
      <c r="E94" s="243">
        <v>90</v>
      </c>
      <c r="F94" s="243">
        <v>10</v>
      </c>
      <c r="G94" s="243">
        <v>10</v>
      </c>
      <c r="H94" s="243">
        <v>15</v>
      </c>
      <c r="I94" s="245">
        <v>2.81</v>
      </c>
      <c r="J94" s="245">
        <v>1.04</v>
      </c>
      <c r="K94" s="245">
        <v>1.67</v>
      </c>
      <c r="L94" s="245">
        <v>0.36</v>
      </c>
    </row>
    <row r="95" spans="1:12" ht="15">
      <c r="A95" s="239" t="s">
        <v>1369</v>
      </c>
      <c r="B95" s="240">
        <v>15</v>
      </c>
      <c r="C95" s="240">
        <v>0</v>
      </c>
      <c r="D95" s="240">
        <v>0</v>
      </c>
      <c r="E95" s="240">
        <v>60</v>
      </c>
      <c r="F95" s="240">
        <v>0</v>
      </c>
      <c r="G95" s="240">
        <v>0</v>
      </c>
      <c r="H95" s="240">
        <v>0</v>
      </c>
      <c r="I95" s="241">
        <v>5</v>
      </c>
      <c r="J95" s="241">
        <v>1.4</v>
      </c>
      <c r="K95" s="241">
        <v>4</v>
      </c>
      <c r="L95" s="241">
        <v>0.5</v>
      </c>
    </row>
    <row r="96" spans="1:12" ht="15">
      <c r="A96" s="239" t="s">
        <v>1368</v>
      </c>
      <c r="B96" s="240">
        <v>15</v>
      </c>
      <c r="C96" s="240">
        <v>0</v>
      </c>
      <c r="D96" s="240">
        <v>0</v>
      </c>
      <c r="E96" s="240">
        <v>60</v>
      </c>
      <c r="F96" s="240">
        <v>0</v>
      </c>
      <c r="G96" s="240">
        <v>0</v>
      </c>
      <c r="H96" s="240">
        <v>0</v>
      </c>
      <c r="I96" s="241">
        <v>3.6</v>
      </c>
      <c r="J96" s="241">
        <v>1.1000000000000001</v>
      </c>
      <c r="K96" s="241">
        <v>1.4</v>
      </c>
      <c r="L96" s="241">
        <v>0.2</v>
      </c>
    </row>
    <row r="97" spans="1:12" ht="15">
      <c r="A97" s="244" t="s">
        <v>1370</v>
      </c>
      <c r="B97" s="243">
        <v>650</v>
      </c>
      <c r="C97" s="243">
        <v>170</v>
      </c>
      <c r="D97" s="243">
        <v>0</v>
      </c>
      <c r="E97" s="243">
        <v>90</v>
      </c>
      <c r="F97" s="243">
        <v>100</v>
      </c>
      <c r="G97" s="243">
        <v>10</v>
      </c>
      <c r="H97" s="243">
        <v>15</v>
      </c>
      <c r="I97" s="245">
        <v>0.18</v>
      </c>
      <c r="J97" s="245">
        <v>0.1</v>
      </c>
      <c r="K97" s="245">
        <v>0.25</v>
      </c>
      <c r="L97" s="245">
        <v>0.08</v>
      </c>
    </row>
    <row r="98" spans="1:12" ht="15">
      <c r="A98" s="244" t="s">
        <v>1371</v>
      </c>
      <c r="B98" s="243">
        <v>650</v>
      </c>
      <c r="C98" s="243">
        <v>170</v>
      </c>
      <c r="D98" s="243">
        <v>0</v>
      </c>
      <c r="E98" s="243">
        <v>90</v>
      </c>
      <c r="F98" s="243">
        <v>100</v>
      </c>
      <c r="G98" s="243">
        <v>10</v>
      </c>
      <c r="H98" s="243">
        <v>15</v>
      </c>
      <c r="I98" s="245">
        <v>0.46</v>
      </c>
      <c r="J98" s="245">
        <v>0.18</v>
      </c>
      <c r="K98" s="245">
        <v>0.75</v>
      </c>
      <c r="L98" s="245">
        <v>0.15</v>
      </c>
    </row>
    <row r="99" spans="1:12" ht="15">
      <c r="A99" s="239" t="s">
        <v>2124</v>
      </c>
      <c r="B99" s="240">
        <v>280</v>
      </c>
      <c r="C99" s="240">
        <v>30</v>
      </c>
      <c r="D99" s="240"/>
      <c r="E99" s="240"/>
      <c r="F99" s="240"/>
      <c r="G99" s="240"/>
      <c r="H99" s="240"/>
      <c r="I99" s="241"/>
      <c r="J99" s="241">
        <v>0</v>
      </c>
      <c r="K99" s="241"/>
      <c r="L99" s="241"/>
    </row>
    <row r="100" spans="1:12" ht="15">
      <c r="A100" s="239" t="s">
        <v>2125</v>
      </c>
      <c r="B100" s="240">
        <v>280</v>
      </c>
      <c r="C100" s="240">
        <v>20</v>
      </c>
      <c r="D100" s="240"/>
      <c r="E100" s="240"/>
      <c r="F100" s="240"/>
      <c r="G100" s="240"/>
      <c r="H100" s="240"/>
      <c r="I100" s="241"/>
      <c r="J100" s="241">
        <v>0</v>
      </c>
      <c r="K100" s="241"/>
      <c r="L100" s="241"/>
    </row>
    <row r="101" spans="1:12" ht="15">
      <c r="A101" s="239" t="s">
        <v>2126</v>
      </c>
      <c r="B101" s="240">
        <v>280</v>
      </c>
      <c r="C101" s="240">
        <v>30</v>
      </c>
      <c r="D101" s="240"/>
      <c r="E101" s="240"/>
      <c r="F101" s="240"/>
      <c r="G101" s="240"/>
      <c r="H101" s="240"/>
      <c r="I101" s="241"/>
      <c r="J101" s="241">
        <v>7.4999999999999997E-2</v>
      </c>
      <c r="K101" s="241"/>
      <c r="L101" s="241"/>
    </row>
    <row r="102" spans="1:12" ht="15">
      <c r="A102" s="239" t="s">
        <v>2127</v>
      </c>
      <c r="B102" s="240">
        <v>280</v>
      </c>
      <c r="C102" s="240">
        <v>20</v>
      </c>
      <c r="D102" s="240"/>
      <c r="E102" s="240"/>
      <c r="F102" s="240"/>
      <c r="G102" s="240"/>
      <c r="H102" s="240"/>
      <c r="I102" s="241"/>
      <c r="J102" s="241">
        <v>7.4999999999999997E-2</v>
      </c>
      <c r="K102" s="241"/>
      <c r="L102" s="241"/>
    </row>
    <row r="108" spans="1:12">
      <c r="A108" s="1"/>
    </row>
    <row r="109" spans="1:12">
      <c r="A109" s="1"/>
    </row>
    <row r="110" spans="1:12">
      <c r="A110" s="1"/>
    </row>
    <row r="111" spans="1:12">
      <c r="A111" s="1"/>
    </row>
    <row r="112" spans="1:12">
      <c r="A112" s="1"/>
    </row>
    <row r="113" spans="1:1">
      <c r="A113" s="1"/>
    </row>
    <row r="114" spans="1:1">
      <c r="A114" s="1"/>
    </row>
    <row r="115" spans="1:1">
      <c r="A115" s="1"/>
    </row>
    <row r="116" spans="1:1">
      <c r="A116" s="1"/>
    </row>
    <row r="117" spans="1:1">
      <c r="A117" s="1"/>
    </row>
    <row r="118" spans="1:1">
      <c r="A118" s="1"/>
    </row>
    <row r="119" spans="1:1">
      <c r="A119" s="1"/>
    </row>
    <row r="120" spans="1:1">
      <c r="A120" s="1"/>
    </row>
    <row r="121" spans="1:1">
      <c r="A121" s="1"/>
    </row>
    <row r="122" spans="1:1">
      <c r="A122" s="1"/>
    </row>
    <row r="123" spans="1:1">
      <c r="A123" s="1"/>
    </row>
    <row r="124" spans="1:1">
      <c r="A124" s="1"/>
    </row>
    <row r="125" spans="1:1">
      <c r="A125" s="1"/>
    </row>
    <row r="126" spans="1:1">
      <c r="A126" s="1"/>
    </row>
    <row r="127" spans="1:1">
      <c r="A127" s="1"/>
    </row>
  </sheetData>
  <sheetProtection algorithmName="SHA-512" hashValue="IXSwt9Tg487aGzy4iGywd6ydBREzbMjdQ5pQirbCm/wd6Qf/BOrQpwD8+TLLFCxW+I5lpmmPIhjPsdvRqE5t2Q==" saltValue="Z5C4QjJkdr6bx0VU32Rzdg==" spinCount="100000" sheet="1" objects="1" scenarios="1"/>
  <conditionalFormatting sqref="H103:H1048576">
    <cfRule type="cellIs" dxfId="131" priority="29" operator="notEqual">
      <formula>20</formula>
    </cfRule>
  </conditionalFormatting>
  <conditionalFormatting sqref="H101">
    <cfRule type="cellIs" dxfId="130" priority="2" operator="notEqual">
      <formula>20</formula>
    </cfRule>
  </conditionalFormatting>
  <conditionalFormatting sqref="H102">
    <cfRule type="cellIs" dxfId="129" priority="1" operator="notEqual">
      <formula>20</formula>
    </cfRule>
  </conditionalFormatting>
  <pageMargins left="0.78740157480314965" right="0.39370078740157483" top="0.78740157480314965" bottom="0.19685039370078741" header="0.31496062992125984" footer="0.31496062992125984"/>
  <pageSetup paperSize="9" scale="80" orientation="portrait" r:id="rId1"/>
  <headerFooter>
    <oddHeader xml:space="preserve">&amp;L&amp;8Dienstleistungszentrum Ländlicher Raum (DLR) - Rheinpfalz, Breitenweg 71, 67435 Neustadt/Weinstraße
Alle Angaben ohne Gewähr. </oddHeader>
  </headerFooter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14</vt:i4>
      </vt:variant>
    </vt:vector>
  </HeadingPairs>
  <TitlesOfParts>
    <vt:vector size="32" baseType="lpstr">
      <vt:lpstr>N-Bedarf Gemüse Erdbeere</vt:lpstr>
      <vt:lpstr>P-Bedarf Gemüse Erdbeere</vt:lpstr>
      <vt:lpstr>N-Bedarf H&amp;G</vt:lpstr>
      <vt:lpstr>P-Bedarf H&amp;G</vt:lpstr>
      <vt:lpstr>N-Bedarf Ackerbau</vt:lpstr>
      <vt:lpstr>P-Bedarf Ackerbau</vt:lpstr>
      <vt:lpstr>Boden Bolap</vt:lpstr>
      <vt:lpstr>Nicht aktiv_Boden LUFA</vt:lpstr>
      <vt:lpstr>Tab 2+3 DüV_A</vt:lpstr>
      <vt:lpstr>Nährstoffabfuhr Sonstige</vt:lpstr>
      <vt:lpstr>Tab 4+5 DüV+Abfuhr_G</vt:lpstr>
      <vt:lpstr>H&amp;G</vt:lpstr>
      <vt:lpstr>Tab 6 DüV_H</vt:lpstr>
      <vt:lpstr>Tab 7 DüV_A-VF</vt:lpstr>
      <vt:lpstr>Tab 7 DüV_A-ZF</vt:lpstr>
      <vt:lpstr>Verfrühung, Vorkultur</vt:lpstr>
      <vt:lpstr>Tab org. D_N-expert</vt:lpstr>
      <vt:lpstr>Tab org. Kompost_N-expert</vt:lpstr>
      <vt:lpstr>Ackerbau</vt:lpstr>
      <vt:lpstr>'H&amp;G'!Druckbereich</vt:lpstr>
      <vt:lpstr>'N-Bedarf Ackerbau'!Druckbereich</vt:lpstr>
      <vt:lpstr>'N-Bedarf Gemüse Erdbeere'!Druckbereich</vt:lpstr>
      <vt:lpstr>'N-Bedarf H&amp;G'!Druckbereich</vt:lpstr>
      <vt:lpstr>'P-Bedarf Ackerbau'!Druckbereich</vt:lpstr>
      <vt:lpstr>'P-Bedarf Gemüse Erdbeere'!Druckbereich</vt:lpstr>
      <vt:lpstr>'P-Bedarf H&amp;G'!Druckbereich</vt:lpstr>
      <vt:lpstr>'Tab 4+5 DüV+Abfuhr_G'!Druckbereich</vt:lpstr>
      <vt:lpstr>'H&amp;G'!Drucktitel</vt:lpstr>
      <vt:lpstr>'Nährstoffabfuhr Sonstige'!Drucktitel</vt:lpstr>
      <vt:lpstr>'Tab org. D_N-expert'!Drucktitel</vt:lpstr>
      <vt:lpstr>Gemüse</vt:lpstr>
      <vt:lpstr>HG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Kerstin Mahler</dc:creator>
  <cp:lastModifiedBy>mahler_k</cp:lastModifiedBy>
  <cp:lastPrinted>2020-09-16T17:42:03Z</cp:lastPrinted>
  <dcterms:created xsi:type="dcterms:W3CDTF">2016-03-31T17:23:54Z</dcterms:created>
  <dcterms:modified xsi:type="dcterms:W3CDTF">2024-02-14T13:29:51Z</dcterms:modified>
</cp:coreProperties>
</file>